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PC/Desktop/4/"/>
    </mc:Choice>
  </mc:AlternateContent>
  <xr:revisionPtr revIDLastSave="0" documentId="13_ncr:1_{FEA5CCC3-6D3F-C24D-8530-57EC93E7D4F0}" xr6:coauthVersionLast="47" xr6:coauthVersionMax="47" xr10:uidLastSave="{00000000-0000-0000-0000-000000000000}"/>
  <bookViews>
    <workbookView xWindow="0" yWindow="740" windowWidth="34560" windowHeight="21600" xr2:uid="{00000000-000D-0000-FFFF-FFFF00000000}"/>
  </bookViews>
  <sheets>
    <sheet name="Valuation" sheetId="7" r:id="rId1"/>
    <sheet name="CB_DATA_" sheetId="8" state="veryHidden" r:id="rId2"/>
    <sheet name="Input" sheetId="5" r:id="rId3"/>
    <sheet name="Output" sheetId="6" r:id="rId4"/>
    <sheet name="Organized PL&amp;BS" sheetId="1" r:id="rId5"/>
    <sheet name="Balance Sheet" sheetId="2" r:id="rId6"/>
    <sheet name="Cash Flow" sheetId="3" r:id="rId7"/>
    <sheet name="Income Statement" sheetId="4" r:id="rId8"/>
  </sheets>
  <externalReferences>
    <externalReference r:id="rId9"/>
    <externalReference r:id="rId10"/>
  </externalReferences>
  <definedNames>
    <definedName name="CB_061a59592e084d17b7d162c10af03b75" localSheetId="2" hidden="1">Input!$H$113</definedName>
    <definedName name="CB_0bfedff864ac480cb2741179704164ea" localSheetId="0" hidden="1">Valuation!$G$99</definedName>
    <definedName name="CB_15c207e28153483e9e3d9e348aa9a378" localSheetId="2" hidden="1">Input!$H$47</definedName>
    <definedName name="CB_5b4cf6a48c3d407d844bb6c3ccaf06d8" localSheetId="2" hidden="1">Input!$H$23</definedName>
    <definedName name="CB_62b1f9e3b66b4f3b97b7a81b31dc66a6" localSheetId="2" hidden="1">Input!$H$128</definedName>
    <definedName name="CB_68ec4f65479c40b797cd878688cd8479" localSheetId="2" hidden="1">Input!$H$6</definedName>
    <definedName name="CB_8a74ba61d43f4bab907e87ba537b82b4" localSheetId="2" hidden="1">Input!$H$92</definedName>
    <definedName name="CB_9d8c41aec1174423a43c56dbe602a015" localSheetId="2" hidden="1">Input!$H$10</definedName>
    <definedName name="CB_a107850d69db462ead14bcb419395771" localSheetId="2" hidden="1">Input!$H$16</definedName>
    <definedName name="CB_a5b418aa6391413cb645763a948d96e7" localSheetId="1" hidden="1">#N/A</definedName>
    <definedName name="CB_aef88ed51fa84680a182f11fb6cf97eb" localSheetId="2" hidden="1">Input!$P$5</definedName>
    <definedName name="CB_Block_00000000000000000000000000000000" localSheetId="1" hidden="1">"'7.0.0.0"</definedName>
    <definedName name="CB_Block_00000000000000000000000000000000" localSheetId="2" hidden="1">"'7.0.0.0"</definedName>
    <definedName name="CB_Block_00000000000000000000000000000000" localSheetId="0" hidden="1">"'7.0.0.0"</definedName>
    <definedName name="CB_Block_00000000000000000000000000000001" localSheetId="1" hidden="1">"'638188049494748348"</definedName>
    <definedName name="CB_Block_00000000000000000000000000000001" localSheetId="2" hidden="1">"'638188049494592842"</definedName>
    <definedName name="CB_Block_00000000000000000000000000000001" localSheetId="0" hidden="1">"'638188049494748348"</definedName>
    <definedName name="CB_Block_00000000000000000000000000000003" localSheetId="1" hidden="1">"'11.1.4716.0"</definedName>
    <definedName name="CB_Block_00000000000000000000000000000003" localSheetId="2" hidden="1">"'11.1.4716.0"</definedName>
    <definedName name="CB_Block_00000000000000000000000000000003" localSheetId="0" hidden="1">"'11.1.4716.0"</definedName>
    <definedName name="CB_BlockExt_00000000000000000000000000000003" localSheetId="1" hidden="1">"'11.1.2.4.850"</definedName>
    <definedName name="CB_BlockExt_00000000000000000000000000000003" localSheetId="2" hidden="1">"'11.1.2.4.850"</definedName>
    <definedName name="CB_BlockExt_00000000000000000000000000000003" localSheetId="0" hidden="1">"'11.1.2.4.850"</definedName>
    <definedName name="CB_ca2350547abd4703a008d4a008827a7b" localSheetId="2" hidden="1">Input!$H$142</definedName>
    <definedName name="CB_ca7e3ef05b6f49f9bcf65c722568081e" localSheetId="2" hidden="1">Input!$P$21</definedName>
    <definedName name="CB_dcb80e9c8358495a9fc6b226746c7b2f" localSheetId="2" hidden="1">Input!$H$98</definedName>
    <definedName name="CB_de81a26c9e8f49d8a30a32a52520f576" localSheetId="2" hidden="1">Input!$H$70</definedName>
    <definedName name="CB_df64394171154271bdaec376dacea8ce" localSheetId="2" hidden="1">Input!$H$109</definedName>
    <definedName name="CB_f3554c2282af4734b6ba38f164797b04" localSheetId="2" hidden="1">Input!$P$6</definedName>
    <definedName name="CBWorkbookPriority" localSheetId="1" hidden="1">-1407009539</definedName>
    <definedName name="CBx_1a9866d99b404307bdf8963157081eba" localSheetId="1" hidden="1">"'Input'!$A$1"</definedName>
    <definedName name="CBx_1f3bf1af096940888437e85d0bc88926" localSheetId="1" hidden="1">"'Valuation'!$A$1"</definedName>
    <definedName name="CBx_b39157aabe9d4afbb90508a632a8b3d2" localSheetId="1" hidden="1">"'CB_DATA_'!$A$1"</definedName>
    <definedName name="CBx_Sheet_Guid" localSheetId="1" hidden="1">"'b39157aa-be9d-4afb-b905-08a632a8b3d2"</definedName>
    <definedName name="CBx_Sheet_Guid" localSheetId="2" hidden="1">"'1a9866d9-9b40-4307-bdf8-963157081eba"</definedName>
    <definedName name="CBx_Sheet_Guid" localSheetId="0" hidden="1">"'1f3bf1af-0969-4088-8437-e85d0bc88926"</definedName>
    <definedName name="CBx_SheetRef" localSheetId="1" hidden="1">CB_DATA_!$A$14</definedName>
    <definedName name="CBx_SheetRef" localSheetId="2" hidden="1">CB_DATA_!$B$14</definedName>
    <definedName name="CBx_SheetRef" localSheetId="0" hidden="1">CB_DATA_!$C$14</definedName>
    <definedName name="CBx_StorageType" localSheetId="1" hidden="1">2</definedName>
    <definedName name="CBx_StorageType" localSheetId="2" hidden="1">2</definedName>
    <definedName name="CBx_StorageType" localSheetId="0" hidden="1">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8" l="1"/>
  <c r="I92" i="5" l="1"/>
  <c r="J92" i="5" s="1"/>
  <c r="K92" i="5" s="1"/>
  <c r="L92" i="5" s="1"/>
  <c r="P4" i="5"/>
  <c r="C11" i="8"/>
  <c r="B11" i="8"/>
  <c r="A11" i="8"/>
  <c r="I105" i="5" l="1"/>
  <c r="J105" i="5" s="1"/>
  <c r="K105" i="5" s="1"/>
  <c r="L105" i="5" s="1"/>
  <c r="I82" i="5"/>
  <c r="J82" i="5" s="1"/>
  <c r="K82" i="5" s="1"/>
  <c r="L82" i="5" s="1"/>
  <c r="I77" i="5"/>
  <c r="J77" i="5" s="1"/>
  <c r="K77" i="5" s="1"/>
  <c r="L77" i="5" s="1"/>
  <c r="I70" i="5"/>
  <c r="J70" i="5" s="1"/>
  <c r="K70" i="5" s="1"/>
  <c r="L70" i="5" s="1"/>
  <c r="B44" i="7"/>
  <c r="C28" i="7"/>
  <c r="D28" i="7"/>
  <c r="E28" i="7"/>
  <c r="F28" i="7"/>
  <c r="G28" i="7"/>
  <c r="B36" i="7"/>
  <c r="B35" i="7"/>
  <c r="B33" i="7"/>
  <c r="B28" i="7"/>
  <c r="H69" i="7" l="1"/>
  <c r="H68" i="7"/>
  <c r="H67" i="7"/>
  <c r="F70" i="7"/>
  <c r="G68" i="7" s="1"/>
  <c r="B26" i="7"/>
  <c r="C26" i="7"/>
  <c r="D26" i="7"/>
  <c r="E26" i="7"/>
  <c r="F26" i="7"/>
  <c r="G26" i="7"/>
  <c r="H26" i="7"/>
  <c r="I26" i="7"/>
  <c r="J26" i="7"/>
  <c r="K26" i="7"/>
  <c r="L26" i="7"/>
  <c r="B27" i="7"/>
  <c r="B38" i="7"/>
  <c r="B40" i="7"/>
  <c r="B49" i="7"/>
  <c r="B51" i="7"/>
  <c r="B56" i="7"/>
  <c r="B57" i="7"/>
  <c r="D28" i="6"/>
  <c r="E28" i="6"/>
  <c r="F28" i="6"/>
  <c r="G28" i="6"/>
  <c r="C28" i="6"/>
  <c r="G67" i="7" l="1"/>
  <c r="G69" i="7"/>
  <c r="G70" i="7" l="1"/>
  <c r="F54" i="5" l="1"/>
  <c r="E29" i="1"/>
  <c r="E54" i="5" s="1"/>
  <c r="G29" i="1"/>
  <c r="G54" i="5" s="1"/>
  <c r="C29" i="1"/>
  <c r="C54" i="5" s="1"/>
  <c r="K54" i="5" l="1"/>
  <c r="I54" i="5"/>
  <c r="K49" i="6"/>
  <c r="L49" i="6"/>
  <c r="C49" i="6"/>
  <c r="D44" i="6"/>
  <c r="D49" i="6" s="1"/>
  <c r="E44" i="6"/>
  <c r="E49" i="6" s="1"/>
  <c r="F44" i="6"/>
  <c r="F49" i="6" s="1"/>
  <c r="G44" i="6"/>
  <c r="G49" i="6" s="1"/>
  <c r="H44" i="6"/>
  <c r="H49" i="6" s="1"/>
  <c r="I44" i="6"/>
  <c r="J44" i="6"/>
  <c r="K44" i="6"/>
  <c r="L44" i="6"/>
  <c r="C44" i="6"/>
  <c r="D33" i="6"/>
  <c r="E33" i="6"/>
  <c r="F33" i="6"/>
  <c r="G33" i="6"/>
  <c r="C33" i="6"/>
  <c r="G38" i="6" l="1"/>
  <c r="E38" i="6"/>
  <c r="C38" i="6"/>
  <c r="J49" i="6"/>
  <c r="F38" i="6"/>
  <c r="D38" i="6"/>
  <c r="I49" i="6"/>
  <c r="B151" i="5"/>
  <c r="B55" i="7" s="1"/>
  <c r="F151" i="5"/>
  <c r="F55" i="7" s="1"/>
  <c r="E151" i="5"/>
  <c r="E55" i="7" s="1"/>
  <c r="D151" i="5"/>
  <c r="D55" i="7" s="1"/>
  <c r="C151" i="5"/>
  <c r="C55" i="7" s="1"/>
  <c r="B147" i="5"/>
  <c r="B54" i="7" s="1"/>
  <c r="B143" i="5"/>
  <c r="B53" i="7" s="1"/>
  <c r="B139" i="5"/>
  <c r="B52" i="7" s="1"/>
  <c r="I138" i="5"/>
  <c r="J138" i="5" s="1"/>
  <c r="K138" i="5" s="1"/>
  <c r="L138" i="5" s="1"/>
  <c r="B133" i="5"/>
  <c r="B48" i="7" s="1"/>
  <c r="I132" i="5"/>
  <c r="J132" i="5" s="1"/>
  <c r="G133" i="5"/>
  <c r="F133" i="5"/>
  <c r="F48" i="7" s="1"/>
  <c r="E133" i="5"/>
  <c r="E48" i="7" s="1"/>
  <c r="D133" i="5"/>
  <c r="D48" i="7" s="1"/>
  <c r="B129" i="5"/>
  <c r="B47" i="7" s="1"/>
  <c r="B123" i="5"/>
  <c r="B46" i="7" s="1"/>
  <c r="B114" i="5"/>
  <c r="B43" i="7" s="1"/>
  <c r="B110" i="5"/>
  <c r="B42" i="7" s="1"/>
  <c r="B106" i="5"/>
  <c r="B41" i="7" s="1"/>
  <c r="B99" i="5"/>
  <c r="B37" i="7" s="1"/>
  <c r="G94" i="5"/>
  <c r="G36" i="7" s="1"/>
  <c r="F94" i="5"/>
  <c r="F36" i="7" s="1"/>
  <c r="E94" i="5"/>
  <c r="E36" i="7" s="1"/>
  <c r="D94" i="5"/>
  <c r="D36" i="7" s="1"/>
  <c r="C94" i="5"/>
  <c r="C36" i="7" s="1"/>
  <c r="B87" i="5"/>
  <c r="B32" i="7" s="1"/>
  <c r="B83" i="5"/>
  <c r="B31" i="7" s="1"/>
  <c r="B78" i="5"/>
  <c r="B30" i="7" s="1"/>
  <c r="B71" i="5"/>
  <c r="B29" i="7" s="1"/>
  <c r="L62" i="5"/>
  <c r="K62" i="5"/>
  <c r="J62" i="5"/>
  <c r="I62" i="5"/>
  <c r="H62" i="5"/>
  <c r="B57" i="5"/>
  <c r="B48" i="5"/>
  <c r="H42" i="5"/>
  <c r="I41" i="5"/>
  <c r="G41" i="5"/>
  <c r="G42" i="5" s="1"/>
  <c r="F41" i="5"/>
  <c r="F42" i="5" s="1"/>
  <c r="E41" i="5"/>
  <c r="E42" i="5" s="1"/>
  <c r="D41" i="5"/>
  <c r="D42" i="5" s="1"/>
  <c r="C41" i="5"/>
  <c r="C42" i="5" s="1"/>
  <c r="B39" i="5"/>
  <c r="G39" i="5"/>
  <c r="F39" i="5"/>
  <c r="E39" i="5"/>
  <c r="D39" i="5"/>
  <c r="C39" i="5"/>
  <c r="B34" i="5"/>
  <c r="B27" i="5"/>
  <c r="B24" i="5"/>
  <c r="B17" i="5"/>
  <c r="B11" i="5"/>
  <c r="B7" i="5"/>
  <c r="I6" i="5"/>
  <c r="J6" i="5" s="1"/>
  <c r="K6" i="5" s="1"/>
  <c r="L6" i="5" s="1"/>
  <c r="H133" i="5" l="1"/>
  <c r="H48" i="7" s="1"/>
  <c r="G48" i="7"/>
  <c r="D16" i="7"/>
  <c r="D16" i="6"/>
  <c r="F16" i="7"/>
  <c r="F16" i="6"/>
  <c r="C16" i="7"/>
  <c r="C16" i="6"/>
  <c r="E16" i="7"/>
  <c r="E16" i="6"/>
  <c r="G16" i="7"/>
  <c r="G16" i="6"/>
  <c r="I42" i="5"/>
  <c r="J41" i="5"/>
  <c r="C133" i="5"/>
  <c r="C48" i="7" s="1"/>
  <c r="G151" i="5"/>
  <c r="G55" i="7" s="1"/>
  <c r="K132" i="5"/>
  <c r="I133" i="5" l="1"/>
  <c r="I48" i="7" s="1"/>
  <c r="L132" i="5"/>
  <c r="K41" i="5"/>
  <c r="J42" i="5"/>
  <c r="J133" i="5" l="1"/>
  <c r="L41" i="5"/>
  <c r="L42" i="5" s="1"/>
  <c r="K42" i="5"/>
  <c r="J48" i="7" l="1"/>
  <c r="K133" i="5"/>
  <c r="B77" i="6"/>
  <c r="C79" i="6" s="1"/>
  <c r="F69" i="6"/>
  <c r="F61" i="6"/>
  <c r="G69" i="6"/>
  <c r="E69" i="6"/>
  <c r="G61" i="6"/>
  <c r="E61" i="6"/>
  <c r="D61" i="6"/>
  <c r="C61" i="6"/>
  <c r="D62" i="6"/>
  <c r="G62" i="6"/>
  <c r="F63" i="6"/>
  <c r="E63" i="6"/>
  <c r="D63" i="6"/>
  <c r="C63" i="6"/>
  <c r="K48" i="7" l="1"/>
  <c r="L133" i="5"/>
  <c r="L48" i="7" s="1"/>
  <c r="G77" i="6"/>
  <c r="D77" i="6"/>
  <c r="G63" i="6"/>
  <c r="C69" i="6"/>
  <c r="D69" i="6"/>
  <c r="C62" i="6"/>
  <c r="C77" i="6" s="1"/>
  <c r="E62" i="6"/>
  <c r="E77" i="6" s="1"/>
  <c r="F62" i="6"/>
  <c r="F77" i="6" s="1"/>
  <c r="D66" i="1" l="1"/>
  <c r="D137" i="5" s="1"/>
  <c r="E66" i="1"/>
  <c r="E137" i="5" s="1"/>
  <c r="F66" i="1"/>
  <c r="F137" i="5" s="1"/>
  <c r="G66" i="1"/>
  <c r="G137" i="5" s="1"/>
  <c r="D67" i="1"/>
  <c r="D141" i="5" s="1"/>
  <c r="E67" i="1"/>
  <c r="E141" i="5" s="1"/>
  <c r="F67" i="1"/>
  <c r="F141" i="5" s="1"/>
  <c r="G67" i="1"/>
  <c r="G141" i="5" s="1"/>
  <c r="D68" i="1"/>
  <c r="D145" i="5" s="1"/>
  <c r="D147" i="5" s="1"/>
  <c r="E68" i="1"/>
  <c r="E145" i="5" s="1"/>
  <c r="E147" i="5" s="1"/>
  <c r="F68" i="1"/>
  <c r="F145" i="5" s="1"/>
  <c r="F147" i="5" s="1"/>
  <c r="G68" i="1"/>
  <c r="G145" i="5" s="1"/>
  <c r="G147" i="5" s="1"/>
  <c r="D69" i="1"/>
  <c r="E69" i="1"/>
  <c r="F69" i="1"/>
  <c r="G69" i="1"/>
  <c r="D70" i="1"/>
  <c r="E70" i="1"/>
  <c r="F70" i="1"/>
  <c r="G70" i="1"/>
  <c r="C67" i="1"/>
  <c r="C141" i="5" s="1"/>
  <c r="C68" i="1"/>
  <c r="C145" i="5" s="1"/>
  <c r="C147" i="5" s="1"/>
  <c r="C69" i="1"/>
  <c r="C70" i="1"/>
  <c r="C66" i="1"/>
  <c r="C137" i="5" s="1"/>
  <c r="D64" i="1"/>
  <c r="E64" i="1"/>
  <c r="F64" i="1"/>
  <c r="G64" i="1"/>
  <c r="C64" i="1"/>
  <c r="D60" i="1"/>
  <c r="D121" i="5" s="1"/>
  <c r="E60" i="1"/>
  <c r="E121" i="5" s="1"/>
  <c r="F60" i="1"/>
  <c r="F121" i="5" s="1"/>
  <c r="G60" i="1"/>
  <c r="G121" i="5" s="1"/>
  <c r="D61" i="1"/>
  <c r="E61" i="1"/>
  <c r="F61" i="1"/>
  <c r="G61" i="1"/>
  <c r="D62" i="1"/>
  <c r="D127" i="5" s="1"/>
  <c r="E62" i="1"/>
  <c r="E127" i="5" s="1"/>
  <c r="F62" i="1"/>
  <c r="F127" i="5" s="1"/>
  <c r="G62" i="1"/>
  <c r="G127" i="5" s="1"/>
  <c r="D63" i="1"/>
  <c r="E63" i="1"/>
  <c r="F63" i="1"/>
  <c r="G63" i="1"/>
  <c r="C63" i="1"/>
  <c r="C62" i="1"/>
  <c r="C127" i="5" s="1"/>
  <c r="C61" i="1"/>
  <c r="C60" i="1"/>
  <c r="C121" i="5" s="1"/>
  <c r="D57" i="1"/>
  <c r="E57" i="1"/>
  <c r="F57" i="1"/>
  <c r="G57" i="1"/>
  <c r="C57" i="1"/>
  <c r="D53" i="1"/>
  <c r="D103" i="5" s="1"/>
  <c r="E53" i="1"/>
  <c r="E103" i="5" s="1"/>
  <c r="F53" i="1"/>
  <c r="F103" i="5" s="1"/>
  <c r="G53" i="1"/>
  <c r="G103" i="5" s="1"/>
  <c r="D54" i="1"/>
  <c r="D108" i="5" s="1"/>
  <c r="E54" i="1"/>
  <c r="E108" i="5" s="1"/>
  <c r="F54" i="1"/>
  <c r="F108" i="5" s="1"/>
  <c r="G54" i="1"/>
  <c r="G108" i="5" s="1"/>
  <c r="D56" i="1"/>
  <c r="D112" i="5" s="1"/>
  <c r="E56" i="1"/>
  <c r="E112" i="5" s="1"/>
  <c r="F56" i="1"/>
  <c r="F112" i="5" s="1"/>
  <c r="G56" i="1"/>
  <c r="G112" i="5" s="1"/>
  <c r="C56" i="1"/>
  <c r="C112" i="5" s="1"/>
  <c r="C54" i="1"/>
  <c r="C108" i="5" s="1"/>
  <c r="C53" i="1"/>
  <c r="C103" i="5" s="1"/>
  <c r="D49" i="1"/>
  <c r="D97" i="5" s="1"/>
  <c r="E49" i="1"/>
  <c r="E97" i="5" s="1"/>
  <c r="F49" i="1"/>
  <c r="F97" i="5" s="1"/>
  <c r="G49" i="1"/>
  <c r="G97" i="5" s="1"/>
  <c r="C49" i="1"/>
  <c r="C97" i="5" s="1"/>
  <c r="D43" i="1"/>
  <c r="E43" i="1"/>
  <c r="F43" i="1"/>
  <c r="G43" i="1"/>
  <c r="C43" i="1"/>
  <c r="D42" i="1"/>
  <c r="D90" i="5" s="1"/>
  <c r="D35" i="7" s="1"/>
  <c r="E42" i="1"/>
  <c r="E90" i="5" s="1"/>
  <c r="E35" i="7" s="1"/>
  <c r="F42" i="1"/>
  <c r="F90" i="5" s="1"/>
  <c r="F35" i="7" s="1"/>
  <c r="G42" i="1"/>
  <c r="G90" i="5" s="1"/>
  <c r="G35" i="7" s="1"/>
  <c r="C42" i="1"/>
  <c r="C90" i="5" s="1"/>
  <c r="C35" i="7" s="1"/>
  <c r="D35" i="1"/>
  <c r="D69" i="5" s="1"/>
  <c r="E35" i="1"/>
  <c r="E69" i="5" s="1"/>
  <c r="F35" i="1"/>
  <c r="F69" i="5" s="1"/>
  <c r="G35" i="1"/>
  <c r="G69" i="5" s="1"/>
  <c r="D36" i="1"/>
  <c r="D75" i="5" s="1"/>
  <c r="E36" i="1"/>
  <c r="E75" i="5" s="1"/>
  <c r="F36" i="1"/>
  <c r="F75" i="5" s="1"/>
  <c r="G36" i="1"/>
  <c r="G75" i="5" s="1"/>
  <c r="D38" i="1"/>
  <c r="D80" i="5" s="1"/>
  <c r="E38" i="1"/>
  <c r="E80" i="5" s="1"/>
  <c r="F38" i="1"/>
  <c r="F80" i="5" s="1"/>
  <c r="G38" i="1"/>
  <c r="G80" i="5" s="1"/>
  <c r="D39" i="1"/>
  <c r="D85" i="5" s="1"/>
  <c r="E39" i="1"/>
  <c r="E85" i="5" s="1"/>
  <c r="F39" i="1"/>
  <c r="F85" i="5" s="1"/>
  <c r="F87" i="5" s="1"/>
  <c r="F32" i="7" s="1"/>
  <c r="G39" i="1"/>
  <c r="G85" i="5" s="1"/>
  <c r="C39" i="1"/>
  <c r="C85" i="5" s="1"/>
  <c r="C38" i="1"/>
  <c r="C80" i="5" s="1"/>
  <c r="C36" i="1"/>
  <c r="C75" i="5" s="1"/>
  <c r="C35" i="1"/>
  <c r="C69" i="5" s="1"/>
  <c r="D28" i="1"/>
  <c r="D53" i="5" s="1"/>
  <c r="D55" i="5" s="1"/>
  <c r="E28" i="1"/>
  <c r="E53" i="5" s="1"/>
  <c r="E55" i="5" s="1"/>
  <c r="F28" i="1"/>
  <c r="F53" i="5" s="1"/>
  <c r="F55" i="5" s="1"/>
  <c r="G28" i="1"/>
  <c r="G53" i="5" s="1"/>
  <c r="C28" i="1"/>
  <c r="C53" i="5" s="1"/>
  <c r="C55" i="5" s="1"/>
  <c r="D25" i="1"/>
  <c r="E25" i="1"/>
  <c r="F25" i="1"/>
  <c r="G25" i="1"/>
  <c r="C25" i="1"/>
  <c r="D24" i="1"/>
  <c r="D46" i="5" s="1"/>
  <c r="E24" i="1"/>
  <c r="E46" i="5" s="1"/>
  <c r="F24" i="1"/>
  <c r="F46" i="5" s="1"/>
  <c r="G24" i="1"/>
  <c r="G46" i="5" s="1"/>
  <c r="C24" i="1"/>
  <c r="C46" i="5" s="1"/>
  <c r="D21" i="1"/>
  <c r="E21" i="1"/>
  <c r="F21" i="1"/>
  <c r="G21" i="1"/>
  <c r="C21" i="1"/>
  <c r="D19" i="1"/>
  <c r="E19" i="1"/>
  <c r="F19" i="1"/>
  <c r="G19" i="1"/>
  <c r="C19" i="1"/>
  <c r="D18" i="1"/>
  <c r="D31" i="5" s="1"/>
  <c r="D34" i="5" s="1"/>
  <c r="E18" i="1"/>
  <c r="E31" i="5" s="1"/>
  <c r="E34" i="5" s="1"/>
  <c r="F18" i="1"/>
  <c r="F31" i="5" s="1"/>
  <c r="F34" i="5" s="1"/>
  <c r="G18" i="1"/>
  <c r="G31" i="5" s="1"/>
  <c r="G34" i="5" s="1"/>
  <c r="C18" i="1"/>
  <c r="C31" i="5" s="1"/>
  <c r="C34" i="5" s="1"/>
  <c r="D17" i="1"/>
  <c r="E17" i="1"/>
  <c r="F17" i="1"/>
  <c r="G17" i="1"/>
  <c r="C17" i="1"/>
  <c r="D14" i="1"/>
  <c r="D26" i="5" s="1"/>
  <c r="D27" i="5" s="1"/>
  <c r="E14" i="1"/>
  <c r="E26" i="5" s="1"/>
  <c r="E27" i="5" s="1"/>
  <c r="F14" i="1"/>
  <c r="F26" i="5" s="1"/>
  <c r="F27" i="5" s="1"/>
  <c r="G14" i="1"/>
  <c r="G26" i="5" s="1"/>
  <c r="H26" i="5" s="1"/>
  <c r="I26" i="5" s="1"/>
  <c r="J26" i="5" s="1"/>
  <c r="K26" i="5" s="1"/>
  <c r="L26" i="5" s="1"/>
  <c r="C14" i="1"/>
  <c r="C26" i="5" s="1"/>
  <c r="C27" i="5" s="1"/>
  <c r="D13" i="1"/>
  <c r="D22" i="5" s="1"/>
  <c r="E13" i="1"/>
  <c r="E22" i="5" s="1"/>
  <c r="F13" i="1"/>
  <c r="F22" i="5" s="1"/>
  <c r="G13" i="1"/>
  <c r="G22" i="5" s="1"/>
  <c r="C13" i="1"/>
  <c r="C22" i="5" s="1"/>
  <c r="D9" i="1"/>
  <c r="D15" i="5" s="1"/>
  <c r="E9" i="1"/>
  <c r="E15" i="5" s="1"/>
  <c r="F9" i="1"/>
  <c r="F15" i="5" s="1"/>
  <c r="G9" i="1"/>
  <c r="G15" i="5" s="1"/>
  <c r="C9" i="1"/>
  <c r="C15" i="5" s="1"/>
  <c r="D6" i="1"/>
  <c r="D9" i="5" s="1"/>
  <c r="E6" i="1"/>
  <c r="F6" i="1"/>
  <c r="F9" i="5" s="1"/>
  <c r="G6" i="1"/>
  <c r="G9" i="5" s="1"/>
  <c r="D5" i="1"/>
  <c r="D5" i="5" s="1"/>
  <c r="E5" i="1"/>
  <c r="E5" i="5" s="1"/>
  <c r="F5" i="1"/>
  <c r="F5" i="5" s="1"/>
  <c r="G5" i="1"/>
  <c r="G5" i="5" s="1"/>
  <c r="C6" i="1"/>
  <c r="C9" i="5" s="1"/>
  <c r="C5" i="1"/>
  <c r="C5" i="5" s="1"/>
  <c r="G7" i="1"/>
  <c r="F7" i="1"/>
  <c r="F11" i="1" s="1"/>
  <c r="F15" i="1" s="1"/>
  <c r="F71" i="1"/>
  <c r="F75" i="1" s="1"/>
  <c r="F77" i="1" s="1"/>
  <c r="D40" i="1" l="1"/>
  <c r="D44" i="1"/>
  <c r="E58" i="1"/>
  <c r="G54" i="6"/>
  <c r="G56" i="6" s="1"/>
  <c r="G54" i="7"/>
  <c r="E54" i="6"/>
  <c r="E54" i="7"/>
  <c r="D54" i="6"/>
  <c r="D56" i="6" s="1"/>
  <c r="D54" i="7"/>
  <c r="F54" i="6"/>
  <c r="F56" i="6" s="1"/>
  <c r="F54" i="7"/>
  <c r="C54" i="6"/>
  <c r="C56" i="6" s="1"/>
  <c r="C54" i="7"/>
  <c r="D11" i="5"/>
  <c r="D82" i="5" s="1"/>
  <c r="E15" i="6"/>
  <c r="E15" i="7"/>
  <c r="C48" i="5"/>
  <c r="F57" i="5"/>
  <c r="F83" i="5"/>
  <c r="F31" i="7" s="1"/>
  <c r="G91" i="5"/>
  <c r="G95" i="5"/>
  <c r="E99" i="5"/>
  <c r="E37" i="7" s="1"/>
  <c r="D110" i="5"/>
  <c r="D42" i="7" s="1"/>
  <c r="C129" i="5"/>
  <c r="C47" i="7" s="1"/>
  <c r="F48" i="5"/>
  <c r="E57" i="5"/>
  <c r="G106" i="5"/>
  <c r="G41" i="7" s="1"/>
  <c r="D57" i="5"/>
  <c r="C106" i="5"/>
  <c r="C41" i="7" s="1"/>
  <c r="G123" i="5"/>
  <c r="G46" i="7" s="1"/>
  <c r="G122" i="5"/>
  <c r="E56" i="6"/>
  <c r="E40" i="1"/>
  <c r="C7" i="5"/>
  <c r="C128" i="5" s="1"/>
  <c r="C6" i="5"/>
  <c r="F17" i="5"/>
  <c r="D12" i="7"/>
  <c r="D12" i="6"/>
  <c r="E48" i="5"/>
  <c r="C71" i="5"/>
  <c r="C29" i="7" s="1"/>
  <c r="G78" i="5"/>
  <c r="G30" i="7" s="1"/>
  <c r="D95" i="5"/>
  <c r="D91" i="5"/>
  <c r="C110" i="5"/>
  <c r="C42" i="7" s="1"/>
  <c r="C44" i="7" s="1"/>
  <c r="E106" i="5"/>
  <c r="F123" i="5"/>
  <c r="F46" i="7" s="1"/>
  <c r="F122" i="5"/>
  <c r="C143" i="5"/>
  <c r="C53" i="7" s="1"/>
  <c r="E17" i="5"/>
  <c r="G48" i="5"/>
  <c r="E91" i="5"/>
  <c r="E95" i="5"/>
  <c r="E44" i="1"/>
  <c r="C78" i="5"/>
  <c r="C30" i="7" s="1"/>
  <c r="G143" i="5"/>
  <c r="G53" i="7" s="1"/>
  <c r="G44" i="1"/>
  <c r="G7" i="5"/>
  <c r="G70" i="5" s="1"/>
  <c r="G6" i="5"/>
  <c r="D17" i="5"/>
  <c r="C83" i="5"/>
  <c r="C31" i="7" s="1"/>
  <c r="E78" i="5"/>
  <c r="E30" i="7" s="1"/>
  <c r="G114" i="5"/>
  <c r="G43" i="7" s="1"/>
  <c r="D123" i="5"/>
  <c r="D46" i="7" s="1"/>
  <c r="D122" i="5"/>
  <c r="F143" i="5"/>
  <c r="F12" i="6"/>
  <c r="F12" i="7"/>
  <c r="F95" i="5"/>
  <c r="F91" i="5"/>
  <c r="D99" i="5"/>
  <c r="D37" i="7" s="1"/>
  <c r="G17" i="5"/>
  <c r="D83" i="5"/>
  <c r="D31" i="7" s="1"/>
  <c r="F106" i="5"/>
  <c r="C11" i="5"/>
  <c r="F78" i="5"/>
  <c r="F30" i="7" s="1"/>
  <c r="F7" i="5"/>
  <c r="F10" i="5" s="1"/>
  <c r="F6" i="5"/>
  <c r="C24" i="5"/>
  <c r="C23" i="5"/>
  <c r="C87" i="5"/>
  <c r="C32" i="7" s="1"/>
  <c r="D78" i="5"/>
  <c r="D30" i="7" s="1"/>
  <c r="F44" i="1"/>
  <c r="F50" i="1" s="1"/>
  <c r="F114" i="5"/>
  <c r="F43" i="7" s="1"/>
  <c r="G129" i="5"/>
  <c r="G47" i="7" s="1"/>
  <c r="E143" i="5"/>
  <c r="E53" i="7" s="1"/>
  <c r="C17" i="5"/>
  <c r="E12" i="7"/>
  <c r="E12" i="6"/>
  <c r="C114" i="5"/>
  <c r="C43" i="7" s="1"/>
  <c r="E7" i="5"/>
  <c r="E98" i="5" s="1"/>
  <c r="E6" i="5"/>
  <c r="G24" i="5"/>
  <c r="G23" i="5"/>
  <c r="G87" i="5"/>
  <c r="G32" i="7" s="1"/>
  <c r="G71" i="5"/>
  <c r="G29" i="7" s="1"/>
  <c r="G95" i="7" s="1"/>
  <c r="E114" i="5"/>
  <c r="E43" i="7" s="1"/>
  <c r="F129" i="5"/>
  <c r="F47" i="7" s="1"/>
  <c r="D143" i="5"/>
  <c r="D53" i="7" s="1"/>
  <c r="G139" i="5"/>
  <c r="G52" i="7" s="1"/>
  <c r="G138" i="5"/>
  <c r="G27" i="5"/>
  <c r="E83" i="5"/>
  <c r="E81" i="5"/>
  <c r="D106" i="5"/>
  <c r="D41" i="7" s="1"/>
  <c r="F58" i="1"/>
  <c r="D114" i="5"/>
  <c r="D43" i="7" s="1"/>
  <c r="E129" i="5"/>
  <c r="E47" i="7" s="1"/>
  <c r="D58" i="1"/>
  <c r="G11" i="5"/>
  <c r="E24" i="5"/>
  <c r="E23" i="5"/>
  <c r="C15" i="6"/>
  <c r="C15" i="7"/>
  <c r="E87" i="5"/>
  <c r="E32" i="7" s="1"/>
  <c r="E71" i="5"/>
  <c r="E29" i="7" s="1"/>
  <c r="C99" i="5"/>
  <c r="C37" i="7" s="1"/>
  <c r="G110" i="5"/>
  <c r="G42" i="7" s="1"/>
  <c r="D129" i="5"/>
  <c r="D47" i="7" s="1"/>
  <c r="F139" i="5"/>
  <c r="F52" i="7" s="1"/>
  <c r="F138" i="5"/>
  <c r="G11" i="1"/>
  <c r="G15" i="1" s="1"/>
  <c r="G22" i="1" s="1"/>
  <c r="G26" i="1" s="1"/>
  <c r="G30" i="1" s="1"/>
  <c r="E123" i="5"/>
  <c r="E46" i="7" s="1"/>
  <c r="E122" i="5"/>
  <c r="F24" i="5"/>
  <c r="F23" i="5"/>
  <c r="F71" i="5"/>
  <c r="F11" i="5"/>
  <c r="F105" i="5" s="1"/>
  <c r="D24" i="5"/>
  <c r="D23" i="5"/>
  <c r="G15" i="7"/>
  <c r="G15" i="6"/>
  <c r="C57" i="5"/>
  <c r="D87" i="5"/>
  <c r="D32" i="7" s="1"/>
  <c r="D71" i="5"/>
  <c r="D70" i="5"/>
  <c r="G99" i="5"/>
  <c r="G37" i="7" s="1"/>
  <c r="F110" i="5"/>
  <c r="F42" i="7" s="1"/>
  <c r="C123" i="5"/>
  <c r="C46" i="7" s="1"/>
  <c r="C122" i="5"/>
  <c r="E139" i="5"/>
  <c r="E138" i="5"/>
  <c r="D15" i="7"/>
  <c r="D15" i="6"/>
  <c r="D48" i="5"/>
  <c r="D7" i="5"/>
  <c r="D98" i="5" s="1"/>
  <c r="D6" i="5"/>
  <c r="D71" i="1"/>
  <c r="D75" i="1" s="1"/>
  <c r="D77" i="1" s="1"/>
  <c r="E71" i="1"/>
  <c r="E75" i="1" s="1"/>
  <c r="E77" i="1" s="1"/>
  <c r="E7" i="1"/>
  <c r="E11" i="1" s="1"/>
  <c r="E15" i="1" s="1"/>
  <c r="E22" i="1" s="1"/>
  <c r="E26" i="1" s="1"/>
  <c r="E30" i="1" s="1"/>
  <c r="E9" i="5"/>
  <c r="C12" i="7"/>
  <c r="C12" i="6"/>
  <c r="F15" i="7"/>
  <c r="F15" i="6"/>
  <c r="H53" i="5"/>
  <c r="G55" i="5"/>
  <c r="G83" i="5"/>
  <c r="G31" i="7" s="1"/>
  <c r="C91" i="5"/>
  <c r="C95" i="5"/>
  <c r="F99" i="5"/>
  <c r="F37" i="7" s="1"/>
  <c r="E110" i="5"/>
  <c r="E42" i="7" s="1"/>
  <c r="C139" i="5"/>
  <c r="C138" i="5"/>
  <c r="D138" i="5"/>
  <c r="D139" i="5"/>
  <c r="D52" i="7" s="1"/>
  <c r="D56" i="7" s="1"/>
  <c r="G71" i="1"/>
  <c r="G75" i="1" s="1"/>
  <c r="G77" i="1" s="1"/>
  <c r="G40" i="1"/>
  <c r="C71" i="1"/>
  <c r="C75" i="1" s="1"/>
  <c r="F40" i="1"/>
  <c r="C40" i="1"/>
  <c r="G58" i="1"/>
  <c r="C58" i="1"/>
  <c r="C44" i="1"/>
  <c r="D50" i="1"/>
  <c r="F22" i="1"/>
  <c r="F26" i="1" s="1"/>
  <c r="F30" i="1" s="1"/>
  <c r="D7" i="1"/>
  <c r="D11" i="1" s="1"/>
  <c r="D15" i="1" s="1"/>
  <c r="D22" i="1" s="1"/>
  <c r="D26" i="1" s="1"/>
  <c r="D30" i="1" s="1"/>
  <c r="C7" i="1"/>
  <c r="C11" i="1" s="1"/>
  <c r="C15" i="1" s="1"/>
  <c r="C22" i="1" s="1"/>
  <c r="C26" i="1" s="1"/>
  <c r="C30" i="1" s="1"/>
  <c r="C77" i="1"/>
  <c r="E50" i="1" l="1"/>
  <c r="E142" i="5"/>
  <c r="G97" i="7"/>
  <c r="G86" i="5"/>
  <c r="E128" i="5"/>
  <c r="C109" i="5"/>
  <c r="D109" i="5"/>
  <c r="G56" i="7"/>
  <c r="D81" i="5"/>
  <c r="D142" i="5"/>
  <c r="C113" i="5"/>
  <c r="D113" i="5"/>
  <c r="D76" i="5"/>
  <c r="C81" i="5"/>
  <c r="C104" i="5"/>
  <c r="G128" i="5"/>
  <c r="C77" i="5"/>
  <c r="C86" i="5"/>
  <c r="C98" i="5"/>
  <c r="E109" i="5"/>
  <c r="D16" i="5"/>
  <c r="G113" i="5"/>
  <c r="D44" i="7"/>
  <c r="D49" i="7" s="1"/>
  <c r="D57" i="7" s="1"/>
  <c r="C16" i="5"/>
  <c r="F81" i="5"/>
  <c r="E152" i="5"/>
  <c r="E157" i="5" s="1"/>
  <c r="E52" i="7"/>
  <c r="E56" i="7" s="1"/>
  <c r="G44" i="7"/>
  <c r="G49" i="7" s="1"/>
  <c r="F82" i="5"/>
  <c r="F156" i="5"/>
  <c r="F29" i="7"/>
  <c r="F104" i="5"/>
  <c r="F142" i="5"/>
  <c r="F152" i="5"/>
  <c r="F157" i="5" s="1"/>
  <c r="F53" i="7"/>
  <c r="F56" i="7" s="1"/>
  <c r="C152" i="5"/>
  <c r="C157" i="5" s="1"/>
  <c r="C52" i="7"/>
  <c r="C56" i="7" s="1"/>
  <c r="C49" i="7"/>
  <c r="F70" i="5"/>
  <c r="E104" i="5"/>
  <c r="E88" i="5"/>
  <c r="E31" i="7"/>
  <c r="F98" i="5"/>
  <c r="E70" i="5"/>
  <c r="D156" i="5"/>
  <c r="D29" i="7"/>
  <c r="E86" i="5"/>
  <c r="F115" i="5"/>
  <c r="F134" i="5" s="1"/>
  <c r="F41" i="7"/>
  <c r="F44" i="7" s="1"/>
  <c r="F49" i="7" s="1"/>
  <c r="D86" i="5"/>
  <c r="D104" i="5"/>
  <c r="D77" i="5"/>
  <c r="E115" i="5"/>
  <c r="E41" i="7"/>
  <c r="E44" i="7" s="1"/>
  <c r="E49" i="7" s="1"/>
  <c r="E19" i="7"/>
  <c r="E19" i="6"/>
  <c r="H55" i="5"/>
  <c r="H57" i="5" s="1"/>
  <c r="I53" i="5"/>
  <c r="G82" i="5"/>
  <c r="G5" i="7"/>
  <c r="G5" i="6"/>
  <c r="G156" i="5"/>
  <c r="G88" i="5"/>
  <c r="C5" i="6"/>
  <c r="C5" i="7"/>
  <c r="C82" i="5"/>
  <c r="C156" i="5"/>
  <c r="C88" i="5"/>
  <c r="G93" i="5"/>
  <c r="G92" i="5"/>
  <c r="G57" i="6"/>
  <c r="G68" i="6"/>
  <c r="C115" i="5"/>
  <c r="C134" i="5" s="1"/>
  <c r="D8" i="7"/>
  <c r="D8" i="6"/>
  <c r="E11" i="5"/>
  <c r="E10" i="5"/>
  <c r="C22" i="7"/>
  <c r="C22" i="6"/>
  <c r="H139" i="5"/>
  <c r="G152" i="5"/>
  <c r="G157" i="5" s="1"/>
  <c r="G11" i="6"/>
  <c r="G11" i="7"/>
  <c r="C11" i="7"/>
  <c r="C11" i="6"/>
  <c r="G19" i="6"/>
  <c r="G19" i="7"/>
  <c r="F16" i="5"/>
  <c r="I16" i="5" s="1"/>
  <c r="J16" i="5" s="1"/>
  <c r="K16" i="5" s="1"/>
  <c r="L16" i="5" s="1"/>
  <c r="F22" i="6"/>
  <c r="F22" i="7"/>
  <c r="F11" i="6"/>
  <c r="F11" i="7"/>
  <c r="C8" i="7"/>
  <c r="C8" i="6"/>
  <c r="E93" i="5"/>
  <c r="E92" i="5"/>
  <c r="C105" i="5"/>
  <c r="H7" i="5"/>
  <c r="G4" i="6"/>
  <c r="G4" i="7"/>
  <c r="G150" i="5"/>
  <c r="G12" i="5"/>
  <c r="G19" i="5" s="1"/>
  <c r="G28" i="5" s="1"/>
  <c r="G43" i="5" s="1"/>
  <c r="G132" i="5"/>
  <c r="E16" i="5"/>
  <c r="D92" i="5"/>
  <c r="D93" i="5"/>
  <c r="F8" i="7"/>
  <c r="F8" i="6"/>
  <c r="D22" i="7"/>
  <c r="D22" i="6"/>
  <c r="H27" i="5"/>
  <c r="E134" i="5"/>
  <c r="G104" i="5"/>
  <c r="C19" i="6"/>
  <c r="C19" i="7"/>
  <c r="G12" i="6"/>
  <c r="G12" i="7"/>
  <c r="D57" i="6"/>
  <c r="D68" i="6"/>
  <c r="G105" i="5"/>
  <c r="F19" i="6"/>
  <c r="F19" i="7"/>
  <c r="E156" i="5"/>
  <c r="I122" i="5"/>
  <c r="J122" i="5" s="1"/>
  <c r="K122" i="5" s="1"/>
  <c r="L122" i="5" s="1"/>
  <c r="E4" i="7"/>
  <c r="E4" i="6"/>
  <c r="E150" i="5"/>
  <c r="E132" i="5"/>
  <c r="C93" i="5"/>
  <c r="C92" i="5"/>
  <c r="D115" i="5"/>
  <c r="D134" i="5" s="1"/>
  <c r="G50" i="1"/>
  <c r="G81" i="5"/>
  <c r="F88" i="5"/>
  <c r="D11" i="7"/>
  <c r="D11" i="6"/>
  <c r="D128" i="5"/>
  <c r="F57" i="6"/>
  <c r="F68" i="6"/>
  <c r="F76" i="5"/>
  <c r="E76" i="5"/>
  <c r="G142" i="5"/>
  <c r="G76" i="5"/>
  <c r="G115" i="5"/>
  <c r="G134" i="5" s="1"/>
  <c r="G8" i="6"/>
  <c r="G8" i="7"/>
  <c r="F128" i="5"/>
  <c r="F113" i="5"/>
  <c r="C4" i="6"/>
  <c r="C4" i="7"/>
  <c r="C12" i="5"/>
  <c r="C19" i="5" s="1"/>
  <c r="C28" i="5" s="1"/>
  <c r="C43" i="5" s="1"/>
  <c r="C132" i="5"/>
  <c r="C150" i="5"/>
  <c r="C13" i="5"/>
  <c r="G98" i="5"/>
  <c r="E11" i="6"/>
  <c r="E11" i="7"/>
  <c r="E113" i="5"/>
  <c r="C57" i="6"/>
  <c r="C68" i="6"/>
  <c r="E77" i="5"/>
  <c r="C142" i="5"/>
  <c r="I142" i="5" s="1"/>
  <c r="J142" i="5" s="1"/>
  <c r="K142" i="5" s="1"/>
  <c r="L142" i="5" s="1"/>
  <c r="E57" i="6"/>
  <c r="E68" i="6"/>
  <c r="D105" i="5"/>
  <c r="D5" i="7"/>
  <c r="D5" i="6"/>
  <c r="D19" i="6"/>
  <c r="D19" i="7"/>
  <c r="F86" i="5"/>
  <c r="F4" i="6"/>
  <c r="F4" i="7"/>
  <c r="F12" i="5"/>
  <c r="F19" i="5" s="1"/>
  <c r="F28" i="5" s="1"/>
  <c r="F43" i="5" s="1"/>
  <c r="F44" i="5" s="1"/>
  <c r="F132" i="5"/>
  <c r="F150" i="5"/>
  <c r="F13" i="5"/>
  <c r="F20" i="5"/>
  <c r="F29" i="5"/>
  <c r="E8" i="6"/>
  <c r="E8" i="7"/>
  <c r="F109" i="5"/>
  <c r="F77" i="5"/>
  <c r="G16" i="5"/>
  <c r="G77" i="5"/>
  <c r="D152" i="5"/>
  <c r="D157" i="5" s="1"/>
  <c r="G57" i="5"/>
  <c r="D4" i="7"/>
  <c r="D4" i="6"/>
  <c r="D150" i="5"/>
  <c r="D132" i="5"/>
  <c r="D12" i="5"/>
  <c r="D19" i="5" s="1"/>
  <c r="D28" i="5" s="1"/>
  <c r="D43" i="5" s="1"/>
  <c r="D44" i="5" s="1"/>
  <c r="F5" i="6"/>
  <c r="F5" i="7"/>
  <c r="G109" i="5"/>
  <c r="G10" i="5"/>
  <c r="D88" i="5"/>
  <c r="C10" i="5"/>
  <c r="I10" i="5" s="1"/>
  <c r="J10" i="5" s="1"/>
  <c r="K10" i="5" s="1"/>
  <c r="L10" i="5" s="1"/>
  <c r="F93" i="5"/>
  <c r="F92" i="5"/>
  <c r="C76" i="5"/>
  <c r="C70" i="5"/>
  <c r="E22" i="6"/>
  <c r="E22" i="7"/>
  <c r="D10" i="5"/>
  <c r="C50" i="1"/>
  <c r="G57" i="7" l="1"/>
  <c r="C153" i="5"/>
  <c r="G153" i="5"/>
  <c r="E153" i="5"/>
  <c r="G6" i="7"/>
  <c r="G9" i="7" s="1"/>
  <c r="E57" i="7"/>
  <c r="D6" i="7"/>
  <c r="D9" i="7" s="1"/>
  <c r="D13" i="7" s="1"/>
  <c r="D17" i="7" s="1"/>
  <c r="D20" i="7" s="1"/>
  <c r="D23" i="7" s="1"/>
  <c r="E100" i="5"/>
  <c r="E33" i="7"/>
  <c r="E38" i="7" s="1"/>
  <c r="D153" i="5"/>
  <c r="H123" i="5"/>
  <c r="D100" i="5"/>
  <c r="D33" i="7"/>
  <c r="D38" i="7" s="1"/>
  <c r="G100" i="5"/>
  <c r="G33" i="7"/>
  <c r="G38" i="7" s="1"/>
  <c r="C100" i="5"/>
  <c r="C33" i="7"/>
  <c r="C38" i="7" s="1"/>
  <c r="H99" i="5"/>
  <c r="H37" i="7" s="1"/>
  <c r="C57" i="7"/>
  <c r="D29" i="5"/>
  <c r="F57" i="7"/>
  <c r="I128" i="5"/>
  <c r="D20" i="5"/>
  <c r="F100" i="5"/>
  <c r="F33" i="7"/>
  <c r="F38" i="7" s="1"/>
  <c r="F153" i="5"/>
  <c r="D13" i="5"/>
  <c r="I139" i="5"/>
  <c r="H52" i="7"/>
  <c r="G50" i="5"/>
  <c r="G47" i="5"/>
  <c r="H4" i="7"/>
  <c r="H4" i="6"/>
  <c r="I7" i="5"/>
  <c r="H11" i="5"/>
  <c r="H93" i="5"/>
  <c r="H90" i="5" s="1"/>
  <c r="H35" i="7" s="1"/>
  <c r="H88" i="7" s="1"/>
  <c r="H17" i="5"/>
  <c r="H87" i="5"/>
  <c r="H32" i="7" s="1"/>
  <c r="I86" i="5"/>
  <c r="G6" i="6"/>
  <c r="G9" i="6" s="1"/>
  <c r="G13" i="6" s="1"/>
  <c r="G67" i="6"/>
  <c r="G65" i="6"/>
  <c r="F66" i="6"/>
  <c r="F64" i="6"/>
  <c r="H150" i="5"/>
  <c r="E105" i="5"/>
  <c r="E5" i="6"/>
  <c r="E6" i="6" s="1"/>
  <c r="E9" i="6" s="1"/>
  <c r="E13" i="6" s="1"/>
  <c r="E5" i="7"/>
  <c r="E6" i="7" s="1"/>
  <c r="E9" i="7" s="1"/>
  <c r="E13" i="7" s="1"/>
  <c r="E17" i="7" s="1"/>
  <c r="E20" i="7" s="1"/>
  <c r="E23" i="7" s="1"/>
  <c r="E82" i="5"/>
  <c r="J53" i="5"/>
  <c r="I55" i="5"/>
  <c r="I57" i="5" s="1"/>
  <c r="G29" i="5"/>
  <c r="H22" i="7"/>
  <c r="H22" i="6"/>
  <c r="D6" i="6"/>
  <c r="D9" i="6" s="1"/>
  <c r="D13" i="6" s="1"/>
  <c r="D67" i="6"/>
  <c r="D65" i="6"/>
  <c r="E67" i="6"/>
  <c r="E65" i="6"/>
  <c r="G22" i="6"/>
  <c r="G22" i="7"/>
  <c r="G44" i="5"/>
  <c r="F6" i="7"/>
  <c r="F9" i="7" s="1"/>
  <c r="F13" i="7" s="1"/>
  <c r="F17" i="7" s="1"/>
  <c r="F20" i="7" s="1"/>
  <c r="F23" i="7" s="1"/>
  <c r="H12" i="7"/>
  <c r="H12" i="6"/>
  <c r="I27" i="5"/>
  <c r="G20" i="5"/>
  <c r="C6" i="7"/>
  <c r="C9" i="7" s="1"/>
  <c r="C13" i="7" s="1"/>
  <c r="C17" i="7" s="1"/>
  <c r="C20" i="7" s="1"/>
  <c r="C23" i="7" s="1"/>
  <c r="G13" i="7"/>
  <c r="G17" i="7" s="1"/>
  <c r="G20" i="7" s="1"/>
  <c r="D64" i="6"/>
  <c r="D66" i="6"/>
  <c r="F6" i="6"/>
  <c r="F9" i="6" s="1"/>
  <c r="F13" i="6" s="1"/>
  <c r="F67" i="6"/>
  <c r="F65" i="6"/>
  <c r="E12" i="5"/>
  <c r="G13" i="5"/>
  <c r="C64" i="6"/>
  <c r="C66" i="6"/>
  <c r="G66" i="6"/>
  <c r="G64" i="6"/>
  <c r="C50" i="5"/>
  <c r="C47" i="5"/>
  <c r="C6" i="6"/>
  <c r="C9" i="6" s="1"/>
  <c r="C13" i="6" s="1"/>
  <c r="C65" i="6"/>
  <c r="C67" i="6"/>
  <c r="H143" i="5"/>
  <c r="F50" i="5"/>
  <c r="F47" i="5"/>
  <c r="H129" i="5"/>
  <c r="H47" i="7" s="1"/>
  <c r="C44" i="5"/>
  <c r="D50" i="5"/>
  <c r="D47" i="5"/>
  <c r="C29" i="5"/>
  <c r="I23" i="5"/>
  <c r="J23" i="5" s="1"/>
  <c r="K23" i="5" s="1"/>
  <c r="L23" i="5" s="1"/>
  <c r="H24" i="5"/>
  <c r="C20" i="5"/>
  <c r="C61" i="7" l="1"/>
  <c r="H71" i="7"/>
  <c r="G23" i="7"/>
  <c r="I78" i="5"/>
  <c r="I30" i="7" s="1"/>
  <c r="J139" i="5"/>
  <c r="I52" i="7"/>
  <c r="H71" i="5"/>
  <c r="H29" i="7" s="1"/>
  <c r="I98" i="5"/>
  <c r="I99" i="5" s="1"/>
  <c r="I37" i="7" s="1"/>
  <c r="I143" i="5"/>
  <c r="H53" i="7"/>
  <c r="I123" i="5"/>
  <c r="H46" i="7"/>
  <c r="H125" i="5"/>
  <c r="H38" i="5" s="1"/>
  <c r="H94" i="5"/>
  <c r="H36" i="7" s="1"/>
  <c r="H11" i="6"/>
  <c r="H11" i="7"/>
  <c r="H87" i="7" s="1"/>
  <c r="H65" i="6"/>
  <c r="E19" i="5"/>
  <c r="E13" i="5"/>
  <c r="H5" i="7"/>
  <c r="H6" i="7" s="1"/>
  <c r="H5" i="6"/>
  <c r="H6" i="6" s="1"/>
  <c r="H83" i="5"/>
  <c r="H31" i="7" s="1"/>
  <c r="I4" i="7"/>
  <c r="I4" i="6"/>
  <c r="J7" i="5"/>
  <c r="I17" i="5"/>
  <c r="I93" i="5"/>
  <c r="I90" i="5" s="1"/>
  <c r="I35" i="7" s="1"/>
  <c r="I88" i="7" s="1"/>
  <c r="I11" i="5"/>
  <c r="I12" i="5" s="1"/>
  <c r="J27" i="5"/>
  <c r="K53" i="5"/>
  <c r="J55" i="5"/>
  <c r="J57" i="5" s="1"/>
  <c r="G17" i="6"/>
  <c r="G20" i="6" s="1"/>
  <c r="G70" i="6"/>
  <c r="G71" i="6"/>
  <c r="G58" i="5"/>
  <c r="G56" i="5"/>
  <c r="G51" i="5"/>
  <c r="D17" i="6"/>
  <c r="D20" i="6" s="1"/>
  <c r="D70" i="6"/>
  <c r="D71" i="6"/>
  <c r="H106" i="5"/>
  <c r="H78" i="5"/>
  <c r="E17" i="6"/>
  <c r="E20" i="6" s="1"/>
  <c r="E71" i="6"/>
  <c r="E70" i="6"/>
  <c r="J86" i="5"/>
  <c r="I87" i="5"/>
  <c r="I32" i="7" s="1"/>
  <c r="D58" i="5"/>
  <c r="D56" i="5"/>
  <c r="D51" i="5"/>
  <c r="C17" i="6"/>
  <c r="C20" i="6" s="1"/>
  <c r="C71" i="6"/>
  <c r="C70" i="6"/>
  <c r="H110" i="5"/>
  <c r="H42" i="7" s="1"/>
  <c r="I109" i="5"/>
  <c r="I129" i="5"/>
  <c r="I47" i="7" s="1"/>
  <c r="J128" i="5"/>
  <c r="H12" i="5"/>
  <c r="H8" i="6"/>
  <c r="H8" i="7"/>
  <c r="I71" i="5"/>
  <c r="I29" i="7" s="1"/>
  <c r="F58" i="5"/>
  <c r="F56" i="5"/>
  <c r="F51" i="5"/>
  <c r="I12" i="7"/>
  <c r="I12" i="6"/>
  <c r="F17" i="6"/>
  <c r="F20" i="6" s="1"/>
  <c r="F71" i="6"/>
  <c r="F70" i="6"/>
  <c r="E64" i="6"/>
  <c r="E66" i="6"/>
  <c r="C58" i="5"/>
  <c r="C56" i="5"/>
  <c r="C51" i="5"/>
  <c r="I150" i="5"/>
  <c r="H151" i="5"/>
  <c r="H55" i="7" s="1"/>
  <c r="I113" i="5"/>
  <c r="H114" i="5"/>
  <c r="H43" i="7" s="1"/>
  <c r="I22" i="7"/>
  <c r="I22" i="6"/>
  <c r="I24" i="5"/>
  <c r="H73" i="5" l="1"/>
  <c r="H33" i="5" s="1"/>
  <c r="H95" i="5"/>
  <c r="H156" i="5" s="1"/>
  <c r="H9" i="7"/>
  <c r="H13" i="7" s="1"/>
  <c r="H86" i="7" s="1"/>
  <c r="J98" i="5"/>
  <c r="K98" i="5" s="1"/>
  <c r="H9" i="6"/>
  <c r="H13" i="6" s="1"/>
  <c r="H71" i="6" s="1"/>
  <c r="J143" i="5"/>
  <c r="I53" i="7"/>
  <c r="H30" i="7"/>
  <c r="H89" i="7" s="1"/>
  <c r="J71" i="5"/>
  <c r="J29" i="7" s="1"/>
  <c r="I46" i="7"/>
  <c r="J123" i="5"/>
  <c r="J125" i="5" s="1"/>
  <c r="J38" i="5" s="1"/>
  <c r="I125" i="5"/>
  <c r="I38" i="5" s="1"/>
  <c r="K139" i="5"/>
  <c r="J52" i="7"/>
  <c r="I19" i="5"/>
  <c r="I20" i="5" s="1"/>
  <c r="I13" i="5"/>
  <c r="H115" i="5"/>
  <c r="H41" i="7"/>
  <c r="D23" i="6"/>
  <c r="D72" i="6"/>
  <c r="D74" i="6"/>
  <c r="D73" i="6"/>
  <c r="E23" i="6"/>
  <c r="E74" i="6"/>
  <c r="E72" i="6"/>
  <c r="E73" i="6"/>
  <c r="I94" i="5"/>
  <c r="I11" i="6"/>
  <c r="I11" i="7"/>
  <c r="I87" i="7" s="1"/>
  <c r="E28" i="5"/>
  <c r="E20" i="5"/>
  <c r="C23" i="6"/>
  <c r="C72" i="6"/>
  <c r="C74" i="6"/>
  <c r="C73" i="6"/>
  <c r="I8" i="6"/>
  <c r="I8" i="7"/>
  <c r="G23" i="6"/>
  <c r="G74" i="6"/>
  <c r="G72" i="6"/>
  <c r="G73" i="6"/>
  <c r="L53" i="5"/>
  <c r="L55" i="5" s="1"/>
  <c r="L57" i="5" s="1"/>
  <c r="K55" i="5"/>
  <c r="K57" i="5" s="1"/>
  <c r="I110" i="5"/>
  <c r="I42" i="7" s="1"/>
  <c r="J109" i="5"/>
  <c r="I5" i="6"/>
  <c r="I5" i="7"/>
  <c r="I6" i="7" s="1"/>
  <c r="I83" i="5"/>
  <c r="I31" i="7" s="1"/>
  <c r="J24" i="5"/>
  <c r="J4" i="7"/>
  <c r="J4" i="6"/>
  <c r="K7" i="5"/>
  <c r="J11" i="5"/>
  <c r="J12" i="5" s="1"/>
  <c r="J13" i="5" s="1"/>
  <c r="J17" i="5"/>
  <c r="J93" i="5"/>
  <c r="J90" i="5" s="1"/>
  <c r="J35" i="7" s="1"/>
  <c r="J88" i="7" s="1"/>
  <c r="J78" i="5"/>
  <c r="J30" i="7" s="1"/>
  <c r="I65" i="6"/>
  <c r="F23" i="6"/>
  <c r="F73" i="6"/>
  <c r="F74" i="6"/>
  <c r="F72" i="6"/>
  <c r="I151" i="5"/>
  <c r="I55" i="7" s="1"/>
  <c r="J150" i="5"/>
  <c r="I73" i="5"/>
  <c r="I33" i="5" s="1"/>
  <c r="I114" i="5"/>
  <c r="I43" i="7" s="1"/>
  <c r="J113" i="5"/>
  <c r="J22" i="6"/>
  <c r="J22" i="7"/>
  <c r="H19" i="5"/>
  <c r="H13" i="5"/>
  <c r="K86" i="5"/>
  <c r="J87" i="5"/>
  <c r="J32" i="7" s="1"/>
  <c r="J12" i="6"/>
  <c r="J12" i="7"/>
  <c r="J129" i="5"/>
  <c r="J47" i="7" s="1"/>
  <c r="K128" i="5"/>
  <c r="K27" i="5"/>
  <c r="L27" i="5"/>
  <c r="H66" i="6"/>
  <c r="H64" i="6"/>
  <c r="J99" i="5" l="1"/>
  <c r="J37" i="7" s="1"/>
  <c r="I9" i="7"/>
  <c r="I13" i="7" s="1"/>
  <c r="I86" i="7" s="1"/>
  <c r="I28" i="5"/>
  <c r="I29" i="5" s="1"/>
  <c r="J73" i="5"/>
  <c r="J33" i="5" s="1"/>
  <c r="I89" i="7"/>
  <c r="I95" i="5"/>
  <c r="I156" i="5" s="1"/>
  <c r="I36" i="7"/>
  <c r="J46" i="7"/>
  <c r="K123" i="5"/>
  <c r="L139" i="5"/>
  <c r="L52" i="7" s="1"/>
  <c r="K52" i="7"/>
  <c r="K143" i="5"/>
  <c r="J53" i="7"/>
  <c r="H44" i="7"/>
  <c r="H49" i="7" s="1"/>
  <c r="H90" i="7"/>
  <c r="H91" i="7" s="1"/>
  <c r="H93" i="7" s="1"/>
  <c r="L12" i="6"/>
  <c r="L12" i="7"/>
  <c r="K12" i="6"/>
  <c r="K12" i="7"/>
  <c r="I66" i="6"/>
  <c r="I64" i="6"/>
  <c r="H28" i="5"/>
  <c r="H20" i="5"/>
  <c r="K129" i="5"/>
  <c r="K47" i="7" s="1"/>
  <c r="L128" i="5"/>
  <c r="J19" i="5"/>
  <c r="J94" i="5"/>
  <c r="J11" i="7"/>
  <c r="J87" i="7" s="1"/>
  <c r="J11" i="6"/>
  <c r="K150" i="5"/>
  <c r="J151" i="5"/>
  <c r="J55" i="7" s="1"/>
  <c r="K113" i="5"/>
  <c r="J114" i="5"/>
  <c r="J43" i="7" s="1"/>
  <c r="K24" i="5"/>
  <c r="J110" i="5"/>
  <c r="J42" i="7" s="1"/>
  <c r="K109" i="5"/>
  <c r="L98" i="5"/>
  <c r="K99" i="5"/>
  <c r="K37" i="7" s="1"/>
  <c r="J8" i="6"/>
  <c r="J8" i="7"/>
  <c r="J5" i="7"/>
  <c r="J6" i="7" s="1"/>
  <c r="J5" i="6"/>
  <c r="J83" i="5"/>
  <c r="K4" i="6"/>
  <c r="K4" i="7"/>
  <c r="L7" i="5"/>
  <c r="K93" i="5"/>
  <c r="K90" i="5" s="1"/>
  <c r="K35" i="7" s="1"/>
  <c r="K88" i="7" s="1"/>
  <c r="K11" i="5"/>
  <c r="K12" i="5" s="1"/>
  <c r="K17" i="5"/>
  <c r="K71" i="5"/>
  <c r="K29" i="7" s="1"/>
  <c r="K78" i="5"/>
  <c r="K30" i="7" s="1"/>
  <c r="K22" i="7"/>
  <c r="K22" i="6"/>
  <c r="I106" i="5"/>
  <c r="I41" i="7" s="1"/>
  <c r="I6" i="6"/>
  <c r="I9" i="6" s="1"/>
  <c r="I13" i="6" s="1"/>
  <c r="J65" i="6"/>
  <c r="L22" i="6"/>
  <c r="L22" i="7"/>
  <c r="E43" i="5"/>
  <c r="E29" i="5"/>
  <c r="K87" i="5"/>
  <c r="K32" i="7" s="1"/>
  <c r="L86" i="5"/>
  <c r="J9" i="7" l="1"/>
  <c r="J13" i="7" s="1"/>
  <c r="J86" i="7" s="1"/>
  <c r="K19" i="5"/>
  <c r="K28" i="5" s="1"/>
  <c r="K29" i="5" s="1"/>
  <c r="L129" i="5"/>
  <c r="L47" i="7" s="1"/>
  <c r="L99" i="5"/>
  <c r="L37" i="7" s="1"/>
  <c r="K46" i="7"/>
  <c r="L123" i="5"/>
  <c r="K125" i="5"/>
  <c r="K38" i="5" s="1"/>
  <c r="L87" i="5"/>
  <c r="L32" i="7" s="1"/>
  <c r="L143" i="5"/>
  <c r="L53" i="7" s="1"/>
  <c r="K53" i="7"/>
  <c r="K13" i="5"/>
  <c r="J95" i="5"/>
  <c r="J156" i="5" s="1"/>
  <c r="J36" i="7"/>
  <c r="J31" i="7"/>
  <c r="J89" i="7" s="1"/>
  <c r="I44" i="7"/>
  <c r="I49" i="7" s="1"/>
  <c r="I90" i="7"/>
  <c r="I91" i="7" s="1"/>
  <c r="I93" i="7" s="1"/>
  <c r="H29" i="5"/>
  <c r="K151" i="5"/>
  <c r="K55" i="7" s="1"/>
  <c r="L150" i="5"/>
  <c r="L151" i="5" s="1"/>
  <c r="L55" i="7" s="1"/>
  <c r="K5" i="7"/>
  <c r="K6" i="7" s="1"/>
  <c r="K5" i="6"/>
  <c r="K6" i="6" s="1"/>
  <c r="K83" i="5"/>
  <c r="K31" i="7" s="1"/>
  <c r="K110" i="5"/>
  <c r="K42" i="7" s="1"/>
  <c r="L109" i="5"/>
  <c r="L110" i="5" s="1"/>
  <c r="L42" i="7" s="1"/>
  <c r="J106" i="5"/>
  <c r="J41" i="7" s="1"/>
  <c r="L24" i="5"/>
  <c r="K65" i="6"/>
  <c r="J66" i="6"/>
  <c r="J64" i="6"/>
  <c r="E50" i="5"/>
  <c r="E47" i="5"/>
  <c r="I47" i="5" s="1"/>
  <c r="J47" i="5" s="1"/>
  <c r="K47" i="5" s="1"/>
  <c r="L47" i="5" s="1"/>
  <c r="E44" i="5"/>
  <c r="K8" i="7"/>
  <c r="K8" i="6"/>
  <c r="J28" i="5"/>
  <c r="J20" i="5"/>
  <c r="K106" i="5"/>
  <c r="K41" i="7" s="1"/>
  <c r="I115" i="5"/>
  <c r="L4" i="6"/>
  <c r="L4" i="7"/>
  <c r="L11" i="5"/>
  <c r="L12" i="5" s="1"/>
  <c r="L17" i="5"/>
  <c r="L93" i="5"/>
  <c r="L90" i="5" s="1"/>
  <c r="L35" i="7" s="1"/>
  <c r="L88" i="7" s="1"/>
  <c r="L78" i="5"/>
  <c r="L30" i="7" s="1"/>
  <c r="L71" i="5"/>
  <c r="K94" i="5"/>
  <c r="K11" i="7"/>
  <c r="K87" i="7" s="1"/>
  <c r="K11" i="6"/>
  <c r="K114" i="5"/>
  <c r="K43" i="7" s="1"/>
  <c r="L113" i="5"/>
  <c r="L114" i="5" s="1"/>
  <c r="L43" i="7" s="1"/>
  <c r="K73" i="5"/>
  <c r="K33" i="5" s="1"/>
  <c r="J6" i="6"/>
  <c r="J9" i="6" s="1"/>
  <c r="J13" i="6" s="1"/>
  <c r="I71" i="6"/>
  <c r="K20" i="5" l="1"/>
  <c r="K89" i="7"/>
  <c r="K95" i="5"/>
  <c r="K156" i="5" s="1"/>
  <c r="K36" i="7"/>
  <c r="L73" i="5"/>
  <c r="L33" i="5" s="1"/>
  <c r="L29" i="7"/>
  <c r="K9" i="6"/>
  <c r="K13" i="6" s="1"/>
  <c r="K71" i="6" s="1"/>
  <c r="K9" i="7"/>
  <c r="K13" i="7" s="1"/>
  <c r="K86" i="7" s="1"/>
  <c r="L125" i="5"/>
  <c r="L38" i="5" s="1"/>
  <c r="L46" i="7"/>
  <c r="L19" i="5"/>
  <c r="L28" i="5" s="1"/>
  <c r="L29" i="5" s="1"/>
  <c r="L13" i="5"/>
  <c r="K44" i="7"/>
  <c r="K49" i="7" s="1"/>
  <c r="K90" i="7"/>
  <c r="J44" i="7"/>
  <c r="J49" i="7" s="1"/>
  <c r="J90" i="7"/>
  <c r="J91" i="7" s="1"/>
  <c r="J93" i="7" s="1"/>
  <c r="K115" i="5"/>
  <c r="L94" i="5"/>
  <c r="L11" i="7"/>
  <c r="L87" i="7" s="1"/>
  <c r="L11" i="6"/>
  <c r="J29" i="5"/>
  <c r="E58" i="5"/>
  <c r="E56" i="5"/>
  <c r="I56" i="5" s="1"/>
  <c r="J56" i="5" s="1"/>
  <c r="K56" i="5" s="1"/>
  <c r="L56" i="5" s="1"/>
  <c r="E51" i="5"/>
  <c r="J71" i="6"/>
  <c r="K64" i="6"/>
  <c r="K66" i="6"/>
  <c r="L65" i="6"/>
  <c r="L8" i="7"/>
  <c r="L8" i="6"/>
  <c r="L106" i="5"/>
  <c r="L41" i="7" s="1"/>
  <c r="L5" i="6"/>
  <c r="L6" i="6" s="1"/>
  <c r="L5" i="7"/>
  <c r="L6" i="7" s="1"/>
  <c r="L83" i="5"/>
  <c r="L31" i="7" s="1"/>
  <c r="L89" i="7" s="1"/>
  <c r="J115" i="5"/>
  <c r="L9" i="7" l="1"/>
  <c r="L13" i="7" s="1"/>
  <c r="L86" i="7" s="1"/>
  <c r="L9" i="6"/>
  <c r="L13" i="6" s="1"/>
  <c r="L71" i="6" s="1"/>
  <c r="L95" i="5"/>
  <c r="L156" i="5" s="1"/>
  <c r="L36" i="7"/>
  <c r="L20" i="5"/>
  <c r="L44" i="7"/>
  <c r="L49" i="7" s="1"/>
  <c r="L90" i="7"/>
  <c r="L66" i="6"/>
  <c r="L64" i="6"/>
  <c r="L115" i="5"/>
  <c r="K91" i="7"/>
  <c r="K93" i="7" s="1"/>
  <c r="L91" i="7" l="1"/>
  <c r="L92" i="7" s="1"/>
  <c r="L93" i="7" s="1"/>
  <c r="G94" i="7" l="1"/>
  <c r="G96" i="7" s="1"/>
  <c r="G98" i="7" s="1"/>
  <c r="G99" i="7" s="1"/>
  <c r="H32" i="5"/>
  <c r="I32" i="5"/>
  <c r="J32" i="5"/>
  <c r="K32" i="5"/>
  <c r="L32" i="5"/>
  <c r="H34" i="5"/>
  <c r="I34" i="5"/>
  <c r="J34" i="5"/>
  <c r="K34" i="5"/>
  <c r="L34" i="5"/>
  <c r="H37" i="5"/>
  <c r="I37" i="5"/>
  <c r="J37" i="5"/>
  <c r="K37" i="5"/>
  <c r="L37" i="5"/>
  <c r="H39" i="5"/>
  <c r="I39" i="5"/>
  <c r="J39" i="5"/>
  <c r="K39" i="5"/>
  <c r="L39" i="5"/>
  <c r="H43" i="5"/>
  <c r="I43" i="5"/>
  <c r="J43" i="5"/>
  <c r="K43" i="5"/>
  <c r="L43" i="5"/>
  <c r="H44" i="5"/>
  <c r="I44" i="5"/>
  <c r="J44" i="5"/>
  <c r="K44" i="5"/>
  <c r="L44" i="5"/>
  <c r="H48" i="5"/>
  <c r="I48" i="5"/>
  <c r="J48" i="5"/>
  <c r="K48" i="5"/>
  <c r="L48" i="5"/>
  <c r="H50" i="5"/>
  <c r="I50" i="5"/>
  <c r="J50" i="5"/>
  <c r="K50" i="5"/>
  <c r="L50" i="5"/>
  <c r="H51" i="5"/>
  <c r="I51" i="5"/>
  <c r="J51" i="5"/>
  <c r="K51" i="5"/>
  <c r="L51" i="5"/>
  <c r="H58" i="5"/>
  <c r="I58" i="5"/>
  <c r="J58" i="5"/>
  <c r="K58" i="5"/>
  <c r="L58" i="5"/>
  <c r="H65" i="5"/>
  <c r="I65" i="5"/>
  <c r="J65" i="5"/>
  <c r="K65" i="5"/>
  <c r="L65" i="5"/>
  <c r="H67" i="5"/>
  <c r="I67" i="5"/>
  <c r="J67" i="5"/>
  <c r="K67" i="5"/>
  <c r="L67" i="5"/>
  <c r="H88" i="5"/>
  <c r="I88" i="5"/>
  <c r="J88" i="5"/>
  <c r="K88" i="5"/>
  <c r="L88" i="5"/>
  <c r="H100" i="5"/>
  <c r="I100" i="5"/>
  <c r="J100" i="5"/>
  <c r="K100" i="5"/>
  <c r="L100" i="5"/>
  <c r="H117" i="5"/>
  <c r="I117" i="5"/>
  <c r="J117" i="5"/>
  <c r="K117" i="5"/>
  <c r="L117" i="5"/>
  <c r="H119" i="5"/>
  <c r="I119" i="5"/>
  <c r="J119" i="5"/>
  <c r="K119" i="5"/>
  <c r="L119" i="5"/>
  <c r="H134" i="5"/>
  <c r="I134" i="5"/>
  <c r="J134" i="5"/>
  <c r="K134" i="5"/>
  <c r="L134" i="5"/>
  <c r="H146" i="5"/>
  <c r="I146" i="5"/>
  <c r="J146" i="5"/>
  <c r="K146" i="5"/>
  <c r="L146" i="5"/>
  <c r="H147" i="5"/>
  <c r="I147" i="5"/>
  <c r="J147" i="5"/>
  <c r="K147" i="5"/>
  <c r="L147" i="5"/>
  <c r="H152" i="5"/>
  <c r="I152" i="5"/>
  <c r="J152" i="5"/>
  <c r="K152" i="5"/>
  <c r="L152" i="5"/>
  <c r="H153" i="5"/>
  <c r="I153" i="5"/>
  <c r="J153" i="5"/>
  <c r="K153" i="5"/>
  <c r="L153" i="5"/>
  <c r="H157" i="5"/>
  <c r="I157" i="5"/>
  <c r="J157" i="5"/>
  <c r="K157" i="5"/>
  <c r="L157" i="5"/>
  <c r="H158" i="5"/>
  <c r="I158" i="5"/>
  <c r="J158" i="5"/>
  <c r="K158" i="5"/>
  <c r="L158" i="5"/>
  <c r="H159" i="5"/>
  <c r="I159" i="5"/>
  <c r="J159" i="5"/>
  <c r="K159" i="5"/>
  <c r="L159" i="5"/>
  <c r="H15" i="6"/>
  <c r="I15" i="6"/>
  <c r="J15" i="6"/>
  <c r="K15" i="6"/>
  <c r="L15" i="6"/>
  <c r="H16" i="6"/>
  <c r="I16" i="6"/>
  <c r="J16" i="6"/>
  <c r="K16" i="6"/>
  <c r="L16" i="6"/>
  <c r="H17" i="6"/>
  <c r="I17" i="6"/>
  <c r="J17" i="6"/>
  <c r="K17" i="6"/>
  <c r="L17" i="6"/>
  <c r="H19" i="6"/>
  <c r="I19" i="6"/>
  <c r="J19" i="6"/>
  <c r="K19" i="6"/>
  <c r="L19" i="6"/>
  <c r="H20" i="6"/>
  <c r="I20" i="6"/>
  <c r="J20" i="6"/>
  <c r="K20" i="6"/>
  <c r="L20" i="6"/>
  <c r="H23" i="6"/>
  <c r="I23" i="6"/>
  <c r="J23" i="6"/>
  <c r="K23" i="6"/>
  <c r="L23" i="6"/>
  <c r="H28" i="6"/>
  <c r="I28" i="6"/>
  <c r="J28" i="6"/>
  <c r="K28" i="6"/>
  <c r="L28" i="6"/>
  <c r="H33" i="6"/>
  <c r="I33" i="6"/>
  <c r="J33" i="6"/>
  <c r="K33" i="6"/>
  <c r="L33" i="6"/>
  <c r="H38" i="6"/>
  <c r="I38" i="6"/>
  <c r="J38" i="6"/>
  <c r="K38" i="6"/>
  <c r="L38" i="6"/>
  <c r="H54" i="6"/>
  <c r="I54" i="6"/>
  <c r="J54" i="6"/>
  <c r="K54" i="6"/>
  <c r="L54" i="6"/>
  <c r="H56" i="6"/>
  <c r="I56" i="6"/>
  <c r="J56" i="6"/>
  <c r="K56" i="6"/>
  <c r="L56" i="6"/>
  <c r="H57" i="6"/>
  <c r="I57" i="6"/>
  <c r="J57" i="6"/>
  <c r="K57" i="6"/>
  <c r="L57" i="6"/>
  <c r="H61" i="6"/>
  <c r="I61" i="6"/>
  <c r="J61" i="6"/>
  <c r="K61" i="6"/>
  <c r="L61" i="6"/>
  <c r="H62" i="6"/>
  <c r="I62" i="6"/>
  <c r="J62" i="6"/>
  <c r="K62" i="6"/>
  <c r="L62" i="6"/>
  <c r="H63" i="6"/>
  <c r="I63" i="6"/>
  <c r="J63" i="6"/>
  <c r="K63" i="6"/>
  <c r="L63" i="6"/>
  <c r="H67" i="6"/>
  <c r="I67" i="6"/>
  <c r="J67" i="6"/>
  <c r="K67" i="6"/>
  <c r="L67" i="6"/>
  <c r="H68" i="6"/>
  <c r="I68" i="6"/>
  <c r="J68" i="6"/>
  <c r="K68" i="6"/>
  <c r="L68" i="6"/>
  <c r="H69" i="6"/>
  <c r="I69" i="6"/>
  <c r="J69" i="6"/>
  <c r="K69" i="6"/>
  <c r="L69" i="6"/>
  <c r="H70" i="6"/>
  <c r="I70" i="6"/>
  <c r="J70" i="6"/>
  <c r="K70" i="6"/>
  <c r="L70" i="6"/>
  <c r="H72" i="6"/>
  <c r="I72" i="6"/>
  <c r="J72" i="6"/>
  <c r="K72" i="6"/>
  <c r="L72" i="6"/>
  <c r="H73" i="6"/>
  <c r="I73" i="6"/>
  <c r="J73" i="6"/>
  <c r="K73" i="6"/>
  <c r="L73" i="6"/>
  <c r="H74" i="6"/>
  <c r="I74" i="6"/>
  <c r="J74" i="6"/>
  <c r="K74" i="6"/>
  <c r="L74" i="6"/>
  <c r="H77" i="6"/>
  <c r="I77" i="6"/>
  <c r="J77" i="6"/>
  <c r="K77" i="6"/>
  <c r="L77" i="6"/>
  <c r="H15" i="7"/>
  <c r="I15" i="7"/>
  <c r="J15" i="7"/>
  <c r="K15" i="7"/>
  <c r="L15" i="7"/>
  <c r="H16" i="7"/>
  <c r="I16" i="7"/>
  <c r="J16" i="7"/>
  <c r="K16" i="7"/>
  <c r="L16" i="7"/>
  <c r="H17" i="7"/>
  <c r="I17" i="7"/>
  <c r="J17" i="7"/>
  <c r="K17" i="7"/>
  <c r="L17" i="7"/>
  <c r="H19" i="7"/>
  <c r="I19" i="7"/>
  <c r="J19" i="7"/>
  <c r="K19" i="7"/>
  <c r="L19" i="7"/>
  <c r="H20" i="7"/>
  <c r="I20" i="7"/>
  <c r="J20" i="7"/>
  <c r="K20" i="7"/>
  <c r="L20" i="7"/>
  <c r="H23" i="7"/>
  <c r="I23" i="7"/>
  <c r="J23" i="7"/>
  <c r="K23" i="7"/>
  <c r="L23" i="7"/>
  <c r="H28" i="7"/>
  <c r="I28" i="7"/>
  <c r="J28" i="7"/>
  <c r="K28" i="7"/>
  <c r="L28" i="7"/>
  <c r="H33" i="7"/>
  <c r="I33" i="7"/>
  <c r="J33" i="7"/>
  <c r="K33" i="7"/>
  <c r="L33" i="7"/>
  <c r="H38" i="7"/>
  <c r="I38" i="7"/>
  <c r="J38" i="7"/>
  <c r="K38" i="7"/>
  <c r="L38" i="7"/>
  <c r="H54" i="7"/>
  <c r="I54" i="7"/>
  <c r="J54" i="7"/>
  <c r="K54" i="7"/>
  <c r="L54" i="7"/>
  <c r="H56" i="7"/>
  <c r="I56" i="7"/>
  <c r="J56" i="7"/>
  <c r="K56" i="7"/>
  <c r="L56" i="7"/>
  <c r="H57" i="7"/>
  <c r="I57" i="7"/>
  <c r="J57" i="7"/>
  <c r="K57" i="7"/>
  <c r="L5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CBS-DCLAB3-13</author>
  </authors>
  <commentList>
    <comment ref="C62" authorId="0" shapeId="0" xr:uid="{77ADD845-ED47-433F-850B-28FF2B8AAD60}">
      <text>
        <r>
          <rPr>
            <b/>
            <sz val="9"/>
            <color indexed="81"/>
            <rFont val="宋体"/>
            <family val="3"/>
            <charset val="134"/>
          </rPr>
          <t>PC:</t>
        </r>
        <r>
          <rPr>
            <sz val="9"/>
            <color indexed="81"/>
            <rFont val="宋体"/>
            <family val="3"/>
            <charset val="134"/>
          </rPr>
          <t xml:space="preserve">
From FAST 2022 annual report</t>
        </r>
      </text>
    </comment>
    <comment ref="G99" authorId="1" shapeId="0" xr:uid="{D16731E2-59F7-4E87-BC88-D32E9A2C3648}">
      <text>
        <r>
          <rPr>
            <b/>
            <sz val="9"/>
            <color indexed="81"/>
            <rFont val="Tahoma"/>
            <family val="2"/>
          </rPr>
          <t>Forecast</t>
        </r>
        <r>
          <rPr>
            <sz val="9"/>
            <color indexed="81"/>
            <rFont val="Tahoma"/>
            <family val="2"/>
          </rPr>
          <t>: Equity value/share
  Units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CBS-DCLAB3-13</author>
    <author>PC</author>
  </authors>
  <commentList>
    <comment ref="P5" authorId="0" shapeId="0" xr:uid="{FB226A13-01EB-4237-9111-ADAEF08F91F3}">
      <text>
        <r>
          <rPr>
            <b/>
            <sz val="9"/>
            <color indexed="81"/>
            <rFont val="Tahoma"/>
            <family val="2"/>
          </rPr>
          <t>Assumption</t>
        </r>
        <r>
          <rPr>
            <sz val="9"/>
            <color indexed="81"/>
            <rFont val="Tahoma"/>
            <family val="2"/>
          </rPr>
          <t>: Risk Free Rate
  Uniform distribution
  Minimum = 2.00%
  Maximum = 5.00%</t>
        </r>
      </text>
    </comment>
    <comment ref="H6" authorId="1" shapeId="0" xr:uid="{5A3DF0EE-8F98-4A3D-989E-0969773D62B3}">
      <text>
        <r>
          <rPr>
            <b/>
            <sz val="9"/>
            <color rgb="FF000000"/>
            <rFont val="宋体"/>
            <charset val="134"/>
          </rPr>
          <t>PC</t>
        </r>
        <r>
          <rPr>
            <sz val="9"/>
            <color rgb="FF000000"/>
            <rFont val="宋体"/>
            <charset val="134"/>
          </rPr>
          <t>:
6.33% from Yahoo Finance
Assumption: Percent growth % · 6
  Normal distribution
  Mean = 6.30%
  Std. Dev. = 2.00%</t>
        </r>
      </text>
    </comment>
    <comment ref="P6" authorId="0" shapeId="0" xr:uid="{DDBF1778-1CB5-48D8-9DFB-36A3A13CC9FA}">
      <text>
        <r>
          <rPr>
            <b/>
            <sz val="9"/>
            <color indexed="81"/>
            <rFont val="Tahoma"/>
            <family val="2"/>
          </rPr>
          <t>Assumption</t>
        </r>
        <r>
          <rPr>
            <sz val="9"/>
            <color indexed="81"/>
            <rFont val="Tahoma"/>
            <family val="2"/>
          </rPr>
          <t>: +   Equity Risk Premium
  Uniform distribution
  Minimum = 5.00%
  Maximum = 8.00%</t>
        </r>
      </text>
    </comment>
    <comment ref="H10" authorId="1" shapeId="0" xr:uid="{4ACB9FA5-FA5D-4CF7-B684-51E128855DBF}">
      <text>
        <r>
          <rPr>
            <b/>
            <sz val="9"/>
            <color rgb="FF000000"/>
            <rFont val="宋体"/>
            <charset val="134"/>
          </rPr>
          <t>PC</t>
        </r>
        <r>
          <rPr>
            <sz val="9"/>
            <color rgb="FF000000"/>
            <rFont val="宋体"/>
            <charset val="134"/>
          </rPr>
          <t>:
Average of the last 5 years
Assumption: As % revenues · 6
  Triangular distribution
  Minimum = 47.50%
  Likeliest = 50.60%
  Maximum = 53.60%</t>
        </r>
      </text>
    </comment>
    <comment ref="H16" authorId="1" shapeId="0" xr:uid="{7B13846D-DD78-4FEC-8D5D-B5C0B73F8CDE}">
      <text>
        <r>
          <rPr>
            <b/>
            <sz val="9"/>
            <color rgb="FF000000"/>
            <rFont val="宋体"/>
            <charset val="134"/>
          </rPr>
          <t>PC</t>
        </r>
        <r>
          <rPr>
            <sz val="9"/>
            <color rgb="FF000000"/>
            <rFont val="宋体"/>
            <charset val="134"/>
          </rPr>
          <t>:
Average of the last 5 years
Assumption: As % revenues · 6 (H16)
  Triangular distribution
  Minimum = 23.80%
  Likeliest = 26.40%
  Maximum = 29.00%</t>
        </r>
      </text>
    </comment>
    <comment ref="P21" authorId="0" shapeId="0" xr:uid="{45CC3434-B511-4888-AE4F-65928D1B283F}">
      <text>
        <r>
          <rPr>
            <b/>
            <sz val="9"/>
            <color indexed="81"/>
            <rFont val="Tahoma"/>
            <family val="2"/>
          </rPr>
          <t>Assumption</t>
        </r>
        <r>
          <rPr>
            <sz val="9"/>
            <color indexed="81"/>
            <rFont val="Tahoma"/>
            <family val="2"/>
          </rPr>
          <t>: x Debt Adjustment Factor
  Lognormal distribution
  Location = 0.00
  Mean = 1.38
  Std. Dev. = 0.14</t>
        </r>
      </text>
    </comment>
    <comment ref="H23" authorId="1" shapeId="0" xr:uid="{A8CBF1F8-6E73-41A4-BF9A-91CD8BEAFD21}">
      <text>
        <r>
          <rPr>
            <b/>
            <sz val="9"/>
            <color rgb="FF000000"/>
            <rFont val="宋体"/>
            <charset val="134"/>
          </rPr>
          <t>PC</t>
        </r>
        <r>
          <rPr>
            <sz val="9"/>
            <color rgb="FF000000"/>
            <rFont val="宋体"/>
            <charset val="134"/>
          </rPr>
          <t xml:space="preserve">:
</t>
        </r>
        <r>
          <rPr>
            <sz val="9"/>
            <color rgb="FF000000"/>
            <rFont val="宋体"/>
            <charset val="134"/>
          </rPr>
          <t xml:space="preserve">Average of the last 5 years
</t>
        </r>
        <r>
          <rPr>
            <sz val="9"/>
            <color rgb="FF000000"/>
            <rFont val="宋体"/>
            <charset val="134"/>
          </rPr>
          <t xml:space="preserve">Assumption: As % prior gross PPE · 6
</t>
        </r>
        <r>
          <rPr>
            <sz val="9"/>
            <color rgb="FF000000"/>
            <rFont val="宋体"/>
            <charset val="134"/>
          </rPr>
          <t xml:space="preserve">  Triangular distribution
</t>
        </r>
        <r>
          <rPr>
            <sz val="9"/>
            <color rgb="FF000000"/>
            <rFont val="宋体"/>
            <charset val="134"/>
          </rPr>
          <t xml:space="preserve">  Minimum = 5.50%
</t>
        </r>
        <r>
          <rPr>
            <sz val="9"/>
            <color rgb="FF000000"/>
            <rFont val="宋体"/>
            <charset val="134"/>
          </rPr>
          <t xml:space="preserve">  Likeliest = 7.20%
</t>
        </r>
        <r>
          <rPr>
            <sz val="9"/>
            <color rgb="FF000000"/>
            <rFont val="宋体"/>
            <charset val="134"/>
          </rPr>
          <t xml:space="preserve">  Maximum = 8.90%</t>
        </r>
      </text>
    </comment>
    <comment ref="H26" authorId="1" shapeId="0" xr:uid="{94B24E0C-4E24-4068-BDE4-A8C352274715}">
      <text>
        <r>
          <rPr>
            <b/>
            <sz val="9"/>
            <color indexed="81"/>
            <rFont val="宋体"/>
            <family val="3"/>
            <charset val="134"/>
          </rPr>
          <t>PC:</t>
        </r>
        <r>
          <rPr>
            <sz val="9"/>
            <color indexed="81"/>
            <rFont val="宋体"/>
            <family val="3"/>
            <charset val="134"/>
          </rPr>
          <t xml:space="preserve">
Increase of 0.1 per year</t>
        </r>
      </text>
    </comment>
    <comment ref="H47" authorId="1" shapeId="0" xr:uid="{483B7327-0A1C-40D3-B07B-47F2E0AEA591}">
      <text>
        <r>
          <rPr>
            <b/>
            <sz val="9"/>
            <color indexed="81"/>
            <rFont val="宋体"/>
            <charset val="134"/>
          </rPr>
          <t>PC</t>
        </r>
        <r>
          <rPr>
            <sz val="9"/>
            <color indexed="81"/>
            <rFont val="宋体"/>
            <charset val="134"/>
          </rPr>
          <t>:
Average of the last 5 years
Assumption: Tax rate % · 6
  Normal distribution
  Mean = 24.00%
  Std. Dev. = 1.00%</t>
        </r>
      </text>
    </comment>
    <comment ref="H53" authorId="1" shapeId="0" xr:uid="{A1A43F1F-B290-4164-9E84-11666E887CD7}">
      <text>
        <r>
          <rPr>
            <b/>
            <sz val="9"/>
            <color indexed="81"/>
            <rFont val="宋体"/>
            <family val="3"/>
            <charset val="134"/>
          </rPr>
          <t>PC:</t>
        </r>
        <r>
          <rPr>
            <sz val="9"/>
            <color indexed="81"/>
            <rFont val="宋体"/>
            <family val="3"/>
            <charset val="134"/>
          </rPr>
          <t xml:space="preserve">
Geometric growth rate in the future</t>
        </r>
      </text>
    </comment>
    <comment ref="I54" authorId="1" shapeId="0" xr:uid="{73DA3DFF-C4E7-4967-B2CE-F483A04D9685}">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last three years</t>
        </r>
      </text>
    </comment>
    <comment ref="H56" authorId="1" shapeId="0" xr:uid="{F466681A-92D6-497C-AF63-7689CDE299D9}">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66" authorId="1" shapeId="0" xr:uid="{097C853D-3CB4-43A6-A66F-00F0015B3015}">
      <text>
        <r>
          <rPr>
            <b/>
            <sz val="9"/>
            <color indexed="81"/>
            <rFont val="宋体"/>
            <family val="3"/>
            <charset val="134"/>
          </rPr>
          <t>PC:</t>
        </r>
        <r>
          <rPr>
            <sz val="9"/>
            <color indexed="81"/>
            <rFont val="宋体"/>
            <family val="3"/>
            <charset val="134"/>
          </rPr>
          <t xml:space="preserve">
Current market 3-month interest rate 4.88%</t>
        </r>
      </text>
    </comment>
    <comment ref="H70" authorId="1" shapeId="0" xr:uid="{FCF93350-5B3E-4282-8515-765166EE00E5}">
      <text>
        <r>
          <rPr>
            <b/>
            <sz val="9"/>
            <color rgb="FF000000"/>
            <rFont val="宋体"/>
            <charset val="134"/>
          </rPr>
          <t>PC</t>
        </r>
        <r>
          <rPr>
            <sz val="9"/>
            <color rgb="FF000000"/>
            <rFont val="宋体"/>
            <charset val="134"/>
          </rPr>
          <t>:
Average of the last 5 years
Assumption: % of revenues · 6 (H70)
  Normal distribution
  Mean = 3.60%
  Std. Dev. = 0.40%</t>
        </r>
      </text>
    </comment>
    <comment ref="H77" authorId="1" shapeId="0" xr:uid="{9ABB805A-5E41-4CF6-9C68-6F5ECE753229}">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82" authorId="1" shapeId="0" xr:uid="{FFF0DABD-8F72-4F20-8303-E26B9F9B4BA3}">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86" authorId="1" shapeId="0" xr:uid="{F930F4BD-E551-45F2-AB3E-BD7CA51D55F3}">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92" authorId="1" shapeId="0" xr:uid="{D63B50DC-C7B1-47EC-ACE9-45C96E2B51C0}">
      <text>
        <r>
          <rPr>
            <b/>
            <sz val="9"/>
            <color rgb="FF000000"/>
            <rFont val="宋体"/>
            <charset val="134"/>
          </rPr>
          <t>PC</t>
        </r>
        <r>
          <rPr>
            <sz val="9"/>
            <color rgb="FF000000"/>
            <rFont val="宋体"/>
            <charset val="134"/>
          </rPr>
          <t>:
Increase of 0.005 per year
Assumption: % of revenues · 6
  Lognormal distribution
  Location = 0.00%
  Mean = 2.10%
  Std. Dev. = 1.00%</t>
        </r>
      </text>
    </comment>
    <comment ref="H98" authorId="1" shapeId="0" xr:uid="{0DF9DD8F-1AAF-4465-AFAA-FF22AE159E10}">
      <text>
        <r>
          <rPr>
            <b/>
            <sz val="9"/>
            <color indexed="81"/>
            <rFont val="宋体"/>
            <charset val="134"/>
          </rPr>
          <t>PC</t>
        </r>
        <r>
          <rPr>
            <sz val="9"/>
            <color indexed="81"/>
            <rFont val="宋体"/>
            <charset val="134"/>
          </rPr>
          <t>:
Average of the last 5 years
Assumption: % of revenues · 6 (H98)
  Triangular distribution
  Minimum = 2.40%
  Likeliest = 2.90%
  Maximum = 3.50%</t>
        </r>
      </text>
    </comment>
    <comment ref="H105" authorId="1" shapeId="0" xr:uid="{1EFDCEDA-7133-4C13-97D5-38C166D80E07}">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109" authorId="1" shapeId="0" xr:uid="{96F1653E-2844-4A6C-9FD6-F0A7A134F023}">
      <text>
        <r>
          <rPr>
            <b/>
            <sz val="9"/>
            <color rgb="FF000000"/>
            <rFont val="宋体"/>
            <charset val="134"/>
          </rPr>
          <t>PC</t>
        </r>
        <r>
          <rPr>
            <sz val="9"/>
            <color rgb="FF000000"/>
            <rFont val="宋体"/>
            <charset val="134"/>
          </rPr>
          <t>:
Average of the last 5 years
Assumption: % of revenues · 6 (H109)
  Triangular distribution
  Minimum = 3.10%
  Likeliest = 4.60%
  Maximum = 6.00%</t>
        </r>
      </text>
    </comment>
    <comment ref="H113" authorId="1" shapeId="0" xr:uid="{09AE0FDD-AE06-43F5-9E48-730414D31315}">
      <text>
        <r>
          <rPr>
            <b/>
            <sz val="9"/>
            <color rgb="FF000000"/>
            <rFont val="宋体"/>
            <charset val="134"/>
          </rPr>
          <t>PC</t>
        </r>
        <r>
          <rPr>
            <sz val="9"/>
            <color rgb="FF000000"/>
            <rFont val="宋体"/>
            <charset val="134"/>
          </rPr>
          <t xml:space="preserve">:
</t>
        </r>
        <r>
          <rPr>
            <sz val="9"/>
            <color rgb="FF000000"/>
            <rFont val="宋体"/>
            <charset val="134"/>
          </rPr>
          <t xml:space="preserve">Average of the last 5 years
</t>
        </r>
        <r>
          <rPr>
            <sz val="9"/>
            <color rgb="FF000000"/>
            <rFont val="宋体"/>
            <charset val="134"/>
          </rPr>
          <t xml:space="preserve">Assumption: % of revenues · 6 (H113)
</t>
        </r>
        <r>
          <rPr>
            <sz val="9"/>
            <color rgb="FF000000"/>
            <rFont val="宋体"/>
            <charset val="134"/>
          </rPr>
          <t xml:space="preserve">  Triangular distribution
</t>
        </r>
        <r>
          <rPr>
            <sz val="9"/>
            <color rgb="FF000000"/>
            <rFont val="宋体"/>
            <charset val="134"/>
          </rPr>
          <t xml:space="preserve">  Minimum = 1.70%
</t>
        </r>
        <r>
          <rPr>
            <sz val="9"/>
            <color rgb="FF000000"/>
            <rFont val="宋体"/>
            <charset val="134"/>
          </rPr>
          <t xml:space="preserve">  Likeliest = 2.20%
</t>
        </r>
        <r>
          <rPr>
            <sz val="9"/>
            <color rgb="FF000000"/>
            <rFont val="宋体"/>
            <charset val="134"/>
          </rPr>
          <t xml:space="preserve">  Maximum = 2.70%</t>
        </r>
      </text>
    </comment>
    <comment ref="H122" authorId="1" shapeId="0" xr:uid="{1501D807-C91F-4F2D-B6D6-FDB9E39FEFA2}">
      <text>
        <r>
          <rPr>
            <b/>
            <sz val="9"/>
            <color rgb="FF000000"/>
            <rFont val="宋体"/>
            <family val="3"/>
            <charset val="134"/>
          </rPr>
          <t>PC:</t>
        </r>
        <r>
          <rPr>
            <sz val="9"/>
            <color rgb="FF000000"/>
            <rFont val="宋体"/>
            <family val="3"/>
            <charset val="134"/>
          </rPr>
          <t xml:space="preserve">
</t>
        </r>
        <r>
          <rPr>
            <sz val="9"/>
            <color rgb="FF000000"/>
            <rFont val="宋体"/>
            <family val="3"/>
            <charset val="134"/>
          </rPr>
          <t>Average of the last 5 years</t>
        </r>
      </text>
    </comment>
    <comment ref="H124" authorId="1" shapeId="0" xr:uid="{01BA146F-DD1B-4A32-8400-DA8269213E1B}">
      <text>
        <r>
          <rPr>
            <b/>
            <sz val="9"/>
            <color indexed="81"/>
            <rFont val="宋体"/>
            <family val="3"/>
            <charset val="134"/>
          </rPr>
          <t>PC:</t>
        </r>
        <r>
          <rPr>
            <sz val="9"/>
            <color indexed="81"/>
            <rFont val="宋体"/>
            <family val="3"/>
            <charset val="134"/>
          </rPr>
          <t xml:space="preserve">
Follow the LT bond rate in Bloomberg</t>
        </r>
      </text>
    </comment>
    <comment ref="H128" authorId="1" shapeId="0" xr:uid="{E2D730EE-74CD-4F0A-A24F-00B9E95A240B}">
      <text>
        <r>
          <rPr>
            <b/>
            <sz val="9"/>
            <color rgb="FF000000"/>
            <rFont val="宋体"/>
            <charset val="134"/>
          </rPr>
          <t>PC</t>
        </r>
        <r>
          <rPr>
            <sz val="9"/>
            <color rgb="FF000000"/>
            <rFont val="宋体"/>
            <charset val="134"/>
          </rPr>
          <t>:
Average of the last 5 years
Assumption: % of revenues · 6 (H128)
  Triangular distribution
  Minimum = 1.20%
  Likeliest = 1.60%
  Maximum = 2.10%</t>
        </r>
      </text>
    </comment>
    <comment ref="H132" authorId="1" shapeId="0" xr:uid="{F694901A-50DD-4ECA-BD13-84267B6A561C}">
      <text>
        <r>
          <rPr>
            <b/>
            <sz val="9"/>
            <color indexed="81"/>
            <rFont val="宋体"/>
            <family val="3"/>
            <charset val="134"/>
          </rPr>
          <t>PC:</t>
        </r>
        <r>
          <rPr>
            <sz val="9"/>
            <color indexed="81"/>
            <rFont val="宋体"/>
            <family val="3"/>
            <charset val="134"/>
          </rPr>
          <t xml:space="preserve">
Keep it at 0</t>
        </r>
      </text>
    </comment>
    <comment ref="H138" authorId="1" shapeId="0" xr:uid="{35716C34-0BD8-4B99-8AF2-A91278A06688}">
      <text>
        <r>
          <rPr>
            <b/>
            <sz val="9"/>
            <color indexed="81"/>
            <rFont val="宋体"/>
            <family val="3"/>
            <charset val="134"/>
          </rPr>
          <t>PC:</t>
        </r>
        <r>
          <rPr>
            <sz val="9"/>
            <color indexed="81"/>
            <rFont val="宋体"/>
            <family val="3"/>
            <charset val="134"/>
          </rPr>
          <t xml:space="preserve">
2% annual growth</t>
        </r>
      </text>
    </comment>
    <comment ref="H142" authorId="1" shapeId="0" xr:uid="{81899B7C-BD5E-4636-A95C-F7B39CDFF8A2}">
      <text>
        <r>
          <rPr>
            <b/>
            <sz val="9"/>
            <color rgb="FF000000"/>
            <rFont val="宋体"/>
            <charset val="134"/>
          </rPr>
          <t>PC</t>
        </r>
        <r>
          <rPr>
            <sz val="9"/>
            <color rgb="FF000000"/>
            <rFont val="宋体"/>
            <charset val="134"/>
          </rPr>
          <t>:
Average of the last 5 years
Assumption: % of revenues · 6 (H142)
  Triangular distribution
  Minimum = 0.00%
  Likeliest = 0.80%
  Maximum = 1.60%</t>
        </r>
      </text>
    </comment>
    <comment ref="H150" authorId="1" shapeId="0" xr:uid="{329B1FBF-3CB0-477B-AE93-7388F29EDF73}">
      <text>
        <r>
          <rPr>
            <b/>
            <sz val="9"/>
            <color indexed="81"/>
            <rFont val="宋体"/>
            <family val="3"/>
            <charset val="134"/>
          </rPr>
          <t>PC:</t>
        </r>
        <r>
          <rPr>
            <sz val="9"/>
            <color indexed="81"/>
            <rFont val="宋体"/>
            <family val="3"/>
            <charset val="134"/>
          </rPr>
          <t xml:space="preserve">
Average of the last 5 years</t>
        </r>
      </text>
    </comment>
  </commentList>
</comments>
</file>

<file path=xl/sharedStrings.xml><?xml version="1.0" encoding="utf-8"?>
<sst xmlns="http://schemas.openxmlformats.org/spreadsheetml/2006/main" count="760" uniqueCount="387">
  <si>
    <t>Fastenal Company (NasdaqGS:FAST) &gt; Financials &gt; Balance Sheet</t>
  </si>
  <si>
    <t>In Millions of the reported currency, except per share items.</t>
  </si>
  <si>
    <t>Template:</t>
  </si>
  <si>
    <t>Standard</t>
  </si>
  <si>
    <t> </t>
  </si>
  <si>
    <t>Restatement:</t>
  </si>
  <si>
    <t>Latest Filings</t>
  </si>
  <si>
    <t>Period Type:</t>
  </si>
  <si>
    <t>Annual</t>
  </si>
  <si>
    <t>Order:</t>
  </si>
  <si>
    <t>Latest on Right</t>
  </si>
  <si>
    <t>Currency:</t>
  </si>
  <si>
    <t>Reported Currency</t>
  </si>
  <si>
    <t>Conversion:</t>
  </si>
  <si>
    <t>Historical</t>
  </si>
  <si>
    <t>Units:</t>
  </si>
  <si>
    <t>S&amp;P Capital IQ (Default)</t>
  </si>
  <si>
    <t>Decimals:</t>
  </si>
  <si>
    <t>Capital IQ (Default)</t>
  </si>
  <si>
    <t>Balance Sheet</t>
  </si>
  <si>
    <t xml:space="preserve">Balance Sheet as of:
</t>
  </si>
  <si>
    <t>Currency</t>
  </si>
  <si>
    <t>USD</t>
  </si>
  <si>
    <t>ASSETS</t>
  </si>
  <si>
    <t>Cash And Equivalents</t>
  </si>
  <si>
    <t xml:space="preserve">  Total Cash &amp; ST Investments</t>
  </si>
  <si>
    <t>Accounts Receivable</t>
  </si>
  <si>
    <t xml:space="preserve">  Total Receivables</t>
  </si>
  <si>
    <t>Inventory</t>
  </si>
  <si>
    <t>Other Current Assets</t>
  </si>
  <si>
    <t xml:space="preserve">  Total Current Assets</t>
  </si>
  <si>
    <t>Gross Property, Plant &amp; Equipment</t>
  </si>
  <si>
    <t>Accumulated Depreciation</t>
  </si>
  <si>
    <t xml:space="preserve">  Net Property, Plant &amp; Equipment</t>
  </si>
  <si>
    <t>Other Long-Term Assets</t>
  </si>
  <si>
    <t>Total Assets</t>
  </si>
  <si>
    <t>LIABILITIES</t>
  </si>
  <si>
    <t>Accounts Payable</t>
  </si>
  <si>
    <t>Accrued Exp.</t>
  </si>
  <si>
    <t>Curr. Port. of LT Debt</t>
  </si>
  <si>
    <t>Curr. Port. of Leases</t>
  </si>
  <si>
    <t>-</t>
  </si>
  <si>
    <t>Other Current Liabilities</t>
  </si>
  <si>
    <t xml:space="preserve">  Total Current Liabilities</t>
  </si>
  <si>
    <t>Long-Term Debt</t>
  </si>
  <si>
    <t>Long-Term Leases</t>
  </si>
  <si>
    <t>Def. Tax Liability, Non-Curr.</t>
  </si>
  <si>
    <t>Other Non-Current Liabilities</t>
  </si>
  <si>
    <t>Total Liabilities</t>
  </si>
  <si>
    <t>Common Stock</t>
  </si>
  <si>
    <t>Additional Paid In Capital</t>
  </si>
  <si>
    <t>Retained Earnings</t>
  </si>
  <si>
    <t>Treasury Stock</t>
  </si>
  <si>
    <t>Comprehensive Inc. and Other</t>
  </si>
  <si>
    <t xml:space="preserve">  Total Common Equity</t>
  </si>
  <si>
    <t>Total Equity</t>
  </si>
  <si>
    <t>Total Liabilities And Equity</t>
  </si>
  <si>
    <t>Supplemental Items</t>
  </si>
  <si>
    <t>Total Shares Out. on Filing Date</t>
  </si>
  <si>
    <t>Total Shares Out. on Balance Sheet Date</t>
  </si>
  <si>
    <t>Book Value/Share</t>
  </si>
  <si>
    <t>Tangible Book Value</t>
  </si>
  <si>
    <t>Tangible Book Value/Share</t>
  </si>
  <si>
    <t>Total Debt</t>
  </si>
  <si>
    <t>Net Debt</t>
  </si>
  <si>
    <t>Debt Equivalent Oper. Leases</t>
  </si>
  <si>
    <t>NA</t>
  </si>
  <si>
    <t>Inventory Method</t>
  </si>
  <si>
    <t>FIFO</t>
  </si>
  <si>
    <t>Finished Goods Inventory</t>
  </si>
  <si>
    <t>Land</t>
  </si>
  <si>
    <t>Buildings</t>
  </si>
  <si>
    <t>Machinery</t>
  </si>
  <si>
    <t>Construction in Progress</t>
  </si>
  <si>
    <t>Full Time Employees</t>
  </si>
  <si>
    <t>Accum. Allowance for Doubtful Accts</t>
  </si>
  <si>
    <t>Filing Date</t>
  </si>
  <si>
    <t>Restatement Type</t>
  </si>
  <si>
    <t>NC</t>
  </si>
  <si>
    <t>O</t>
  </si>
  <si>
    <t>Calculation Type</t>
  </si>
  <si>
    <t>RUP</t>
  </si>
  <si>
    <t>REP</t>
  </si>
  <si>
    <t>Note: For multiple class companies, total share counts are primary class equivalent, and for foreign companies listed as primary ADRs, total share counts are ADR-equivalent.</t>
  </si>
  <si>
    <t xml:space="preserve">
               </t>
  </si>
  <si>
    <t>Fastenal Company (NasdaqGS:FAST) &gt; Financials &gt; Cash Flow</t>
  </si>
  <si>
    <t>Cash Flow</t>
  </si>
  <si>
    <t xml:space="preserve">For the Fiscal Period Ending
</t>
  </si>
  <si>
    <t>12 months
Dec-31-2018</t>
  </si>
  <si>
    <t>12 months
Dec-31-2019</t>
  </si>
  <si>
    <t>12 months
Dec-31-2020</t>
  </si>
  <si>
    <t>12 months
Dec-31-2021</t>
  </si>
  <si>
    <t>12 months
Dec-31-2022</t>
  </si>
  <si>
    <t xml:space="preserve"> </t>
  </si>
  <si>
    <t>Net Income</t>
  </si>
  <si>
    <t>Depreciation &amp; Amort.</t>
  </si>
  <si>
    <t>Amort. of Goodwill and Intangibles</t>
  </si>
  <si>
    <t>Depreciation &amp; Amort., Total</t>
  </si>
  <si>
    <t>(Gain) Loss From Sale Of Assets</t>
  </si>
  <si>
    <t>Stock-Based Compensation</t>
  </si>
  <si>
    <t>Provision &amp; Write-off of Bad debts</t>
  </si>
  <si>
    <t>Other Operating Activities</t>
  </si>
  <si>
    <t>Change in Acc. Receivable</t>
  </si>
  <si>
    <t>Change In Inventories</t>
  </si>
  <si>
    <t>Change in Acc. Payable</t>
  </si>
  <si>
    <t>Change in Inc. Taxes</t>
  </si>
  <si>
    <t>Change in Other Net Operating Assets</t>
  </si>
  <si>
    <t xml:space="preserve">  Cash from Ops.</t>
  </si>
  <si>
    <t>Capital Expenditure</t>
  </si>
  <si>
    <t>Sale of Property, Plant, and Equipment</t>
  </si>
  <si>
    <t>Cash Acquisitions</t>
  </si>
  <si>
    <t>Divestitures</t>
  </si>
  <si>
    <t>Invest. in Marketable &amp; Equity Securt.</t>
  </si>
  <si>
    <t>Net (Inc.) Dec. in Loans Originated/Sold</t>
  </si>
  <si>
    <t>Other Investing Activities</t>
  </si>
  <si>
    <t xml:space="preserve">  Cash from Investing</t>
  </si>
  <si>
    <t>Short Term Debt Issued</t>
  </si>
  <si>
    <t>Long-Term Debt Issued</t>
  </si>
  <si>
    <t>Total Debt Issued</t>
  </si>
  <si>
    <t>Short Term Debt Repaid</t>
  </si>
  <si>
    <t>Long-Term Debt Repaid</t>
  </si>
  <si>
    <t>Total Debt Repaid</t>
  </si>
  <si>
    <t>Issuance of Common Stock</t>
  </si>
  <si>
    <t>Repurchase of Common Stock</t>
  </si>
  <si>
    <t>Common Dividends Paid</t>
  </si>
  <si>
    <t>Total Dividends Paid</t>
  </si>
  <si>
    <t>Special Dividend Paid</t>
  </si>
  <si>
    <t>Other Financing Activities</t>
  </si>
  <si>
    <t xml:space="preserve">  Cash from Financing</t>
  </si>
  <si>
    <t>Foreign Exchange Rate Adj.</t>
  </si>
  <si>
    <t xml:space="preserve">  Net Change in Cash</t>
  </si>
  <si>
    <t>Cash Interest Paid</t>
  </si>
  <si>
    <t>Cash Taxes Paid</t>
  </si>
  <si>
    <t>Levered Free Cash Flow</t>
  </si>
  <si>
    <t>Unlevered Free Cash Flow</t>
  </si>
  <si>
    <t>Change in Net Working Capital</t>
  </si>
  <si>
    <t>Net Debt Issued</t>
  </si>
  <si>
    <t>Fastenal Company (NasdaqGS:FAST) &gt; Financials &gt; Income Statement</t>
  </si>
  <si>
    <t>Income Statement</t>
  </si>
  <si>
    <t>Reclassified
12 months
Dec-31-2019</t>
  </si>
  <si>
    <t>Reclassified
12 months
Dec-31-2020</t>
  </si>
  <si>
    <t>Revenue</t>
  </si>
  <si>
    <t>Other Revenue</t>
  </si>
  <si>
    <t xml:space="preserve">  Total Revenue</t>
  </si>
  <si>
    <t>Cost Of Goods Sold</t>
  </si>
  <si>
    <t xml:space="preserve">  Gross Profit</t>
  </si>
  <si>
    <t>Selling General &amp; Admin Exp.</t>
  </si>
  <si>
    <t>R &amp; D Exp.</t>
  </si>
  <si>
    <t>Other Operating Expense/(Income)</t>
  </si>
  <si>
    <t xml:space="preserve">  Other Operating Exp., Total</t>
  </si>
  <si>
    <t xml:space="preserve">  Operating Income</t>
  </si>
  <si>
    <t>Interest Expense</t>
  </si>
  <si>
    <t>Interest and Invest. Income</t>
  </si>
  <si>
    <t xml:space="preserve">  Net Interest Exp.</t>
  </si>
  <si>
    <t>Other Non-Operating Inc. (Exp.)</t>
  </si>
  <si>
    <t xml:space="preserve">  EBT Excl. Unusual Items</t>
  </si>
  <si>
    <t>Impairment of Goodwill</t>
  </si>
  <si>
    <t>Gain (Loss) On Sale Of Assets</t>
  </si>
  <si>
    <t>Other Unusual Items</t>
  </si>
  <si>
    <t xml:space="preserve">  EBT Incl. Unusual Items</t>
  </si>
  <si>
    <t>Income Tax Expense</t>
  </si>
  <si>
    <t xml:space="preserve">  Earnings from Cont. Ops.</t>
  </si>
  <si>
    <t>Earnings of Discontinued Ops.</t>
  </si>
  <si>
    <t>Extraord. Item &amp; Account. Change</t>
  </si>
  <si>
    <t xml:space="preserve">  Net Income to Company</t>
  </si>
  <si>
    <t>Minority Int. in Earnings</t>
  </si>
  <si>
    <t xml:space="preserve">  Net Income</t>
  </si>
  <si>
    <t>Pref. Dividends and Other Adj.</t>
  </si>
  <si>
    <t xml:space="preserve">  NI to Common Incl Extra Items</t>
  </si>
  <si>
    <t xml:space="preserve">  NI to Common Excl. Extra Items</t>
  </si>
  <si>
    <t>Per Share Items</t>
  </si>
  <si>
    <t>Basic EPS</t>
  </si>
  <si>
    <t>Basic EPS Excl. Extra Items</t>
  </si>
  <si>
    <t>Weighted Avg. Basic Shares Out.</t>
  </si>
  <si>
    <t>Diluted EPS</t>
  </si>
  <si>
    <t>Diluted EPS Excl. Extra Items</t>
  </si>
  <si>
    <t>Weighted Avg. Diluted Shares Out.</t>
  </si>
  <si>
    <t>Normalized Basic EPS</t>
  </si>
  <si>
    <t>Normalized Diluted EPS</t>
  </si>
  <si>
    <t>Dividends per Share</t>
  </si>
  <si>
    <t>Payout Ratio %</t>
  </si>
  <si>
    <t>Shares per Depository Receipt</t>
  </si>
  <si>
    <t>EBITDA</t>
  </si>
  <si>
    <t>EBITA</t>
  </si>
  <si>
    <t>EBIT</t>
  </si>
  <si>
    <t>EBITDAR</t>
  </si>
  <si>
    <t>Effective Tax Rate %</t>
  </si>
  <si>
    <t>Current Domestic Taxes</t>
  </si>
  <si>
    <t>Current Foreign Taxes</t>
  </si>
  <si>
    <t>Total Current Taxes</t>
  </si>
  <si>
    <t>Deferred Domestic Taxes</t>
  </si>
  <si>
    <t>Deferred Foreign Taxes</t>
  </si>
  <si>
    <t>Total Deferred Taxes</t>
  </si>
  <si>
    <t>Normalized Net Income</t>
  </si>
  <si>
    <t>Interest on Long Term Debt</t>
  </si>
  <si>
    <t>RC</t>
  </si>
  <si>
    <t>Supplemental Operating Expense Items</t>
  </si>
  <si>
    <t>Net Rental Exp.</t>
  </si>
  <si>
    <t>Imputed Oper. Lease Interest Exp.</t>
  </si>
  <si>
    <t>Imputed Oper. Lease Depreciation</t>
  </si>
  <si>
    <t>Stock-Based Comp., SG&amp;A Exp.</t>
  </si>
  <si>
    <t xml:space="preserve">  Stock-Based Comp., Total</t>
  </si>
  <si>
    <t>Note: For multiple class companies, per share items are primary class equivalent, and for foreign companies listed as primary ADRs, per share items are ADR-equivalent.</t>
  </si>
  <si>
    <t>Unit: Millions (USD)</t>
    <phoneticPr fontId="16" type="noConversion"/>
  </si>
  <si>
    <t>INCOME STATEMENT</t>
  </si>
  <si>
    <t>Cost Of Goods Sold (COGS)</t>
    <phoneticPr fontId="16" type="noConversion"/>
  </si>
  <si>
    <t>Gross Profit</t>
    <phoneticPr fontId="16" type="noConversion"/>
  </si>
  <si>
    <t>EBITDA</t>
    <phoneticPr fontId="16" type="noConversion"/>
  </si>
  <si>
    <t>Depreciation &amp; Amort.</t>
    <phoneticPr fontId="14" type="noConversion"/>
  </si>
  <si>
    <t>Amort. of Goodwill and Intangibles</t>
    <phoneticPr fontId="14" type="noConversion"/>
  </si>
  <si>
    <t>EBIT</t>
    <phoneticPr fontId="16" type="noConversion"/>
  </si>
  <si>
    <t>Non-Operating Inc. (Exp.)</t>
    <phoneticPr fontId="16" type="noConversion"/>
  </si>
  <si>
    <t>Income/(Loss) from Affiliates</t>
  </si>
  <si>
    <t>Unusual Expense</t>
    <phoneticPr fontId="16" type="noConversion"/>
  </si>
  <si>
    <t>EBT</t>
    <phoneticPr fontId="16" type="noConversion"/>
  </si>
  <si>
    <t>Net Income</t>
    <phoneticPr fontId="16" type="noConversion"/>
  </si>
  <si>
    <t>Dividends</t>
    <phoneticPr fontId="16" type="noConversion"/>
  </si>
  <si>
    <t>Net to Retained Earnings</t>
    <phoneticPr fontId="16" type="noConversion"/>
  </si>
  <si>
    <t>BALANCE SHEET</t>
    <phoneticPr fontId="16" type="noConversion"/>
  </si>
  <si>
    <t>Cash &amp; Short-term Investments</t>
    <phoneticPr fontId="16" type="noConversion"/>
  </si>
  <si>
    <t>Other Receivables</t>
  </si>
  <si>
    <t>Inventory</t>
    <phoneticPr fontId="16" type="noConversion"/>
  </si>
  <si>
    <t>Total Current Assets</t>
    <phoneticPr fontId="16" type="noConversion"/>
  </si>
  <si>
    <t>Net Property, Plant &amp; Equipment</t>
    <phoneticPr fontId="16" type="noConversion"/>
  </si>
  <si>
    <t>Long-term Investments</t>
  </si>
  <si>
    <t>Goodwill</t>
  </si>
  <si>
    <t>Other Intangibles</t>
  </si>
  <si>
    <t>Short-term Borrowings</t>
  </si>
  <si>
    <t>Total Current Liabilities</t>
    <phoneticPr fontId="16" type="noConversion"/>
  </si>
  <si>
    <t>Pension &amp; Other Post-Retire. Benefits</t>
  </si>
  <si>
    <t>Total Common Equity</t>
    <phoneticPr fontId="16" type="noConversion"/>
  </si>
  <si>
    <t>Fastenal Company (NasdaqGS:FAST) </t>
    <phoneticPr fontId="2" type="noConversion"/>
  </si>
  <si>
    <t>Minority Interest</t>
    <phoneticPr fontId="2" type="noConversion"/>
  </si>
  <si>
    <t>Proj</t>
  </si>
  <si>
    <t>Revenues</t>
  </si>
  <si>
    <t>Percent growth %</t>
  </si>
  <si>
    <t>COGS</t>
  </si>
  <si>
    <t>As % revenues</t>
  </si>
  <si>
    <t>Gross profit</t>
  </si>
  <si>
    <t>Gross margin</t>
  </si>
  <si>
    <t>SGA</t>
  </si>
  <si>
    <t>EBITDA margin</t>
  </si>
  <si>
    <t>As % prior gross PPE</t>
  </si>
  <si>
    <t>EBIT margin</t>
  </si>
  <si>
    <t>Interest income</t>
  </si>
  <si>
    <t>Surplus funds</t>
  </si>
  <si>
    <t>Interest expense</t>
  </si>
  <si>
    <t>Additional funds needed</t>
  </si>
  <si>
    <t>Long term debt</t>
  </si>
  <si>
    <t>EBT</t>
  </si>
  <si>
    <t>EBT Margin</t>
  </si>
  <si>
    <t>Tax rate %</t>
  </si>
  <si>
    <t>Net income</t>
  </si>
  <si>
    <t>Net margin</t>
  </si>
  <si>
    <t>Dividends</t>
  </si>
  <si>
    <t>Payout ratio %</t>
  </si>
  <si>
    <t>Net to retained earnings</t>
  </si>
  <si>
    <t>BALANCE SHEET</t>
  </si>
  <si>
    <t>Interest rate %</t>
  </si>
  <si>
    <t>% of revenues</t>
  </si>
  <si>
    <t xml:space="preserve">  Percent growth %</t>
  </si>
  <si>
    <t>Accounts receivable</t>
  </si>
  <si>
    <t xml:space="preserve">     Days of sales outstanding</t>
  </si>
  <si>
    <t xml:space="preserve">     Days inventory</t>
  </si>
  <si>
    <t>Other current assets</t>
  </si>
  <si>
    <t>Current assets</t>
  </si>
  <si>
    <t>Gross PPE</t>
  </si>
  <si>
    <t>Capex</t>
  </si>
  <si>
    <t>Accmulated depreciation</t>
  </si>
  <si>
    <t>Net PPE</t>
  </si>
  <si>
    <t>Long-term assets</t>
  </si>
  <si>
    <t>Total assets</t>
  </si>
  <si>
    <t>Accounts payable</t>
  </si>
  <si>
    <t xml:space="preserve">     Days of payable</t>
  </si>
  <si>
    <t>Current liabilities</t>
  </si>
  <si>
    <t>Additional fund needed</t>
  </si>
  <si>
    <t>Other long term liabilities</t>
  </si>
  <si>
    <t>Total liabilities</t>
  </si>
  <si>
    <t>EQUITY</t>
  </si>
  <si>
    <t>Common stock</t>
  </si>
  <si>
    <t>Retained earnings</t>
  </si>
  <si>
    <t xml:space="preserve">     Net to retained earnings</t>
  </si>
  <si>
    <t>Total SH equity</t>
  </si>
  <si>
    <t>Total liabs &amp; SH equity</t>
  </si>
  <si>
    <t>Closing the Balance Sheet</t>
  </si>
  <si>
    <t>Assets w/out SF</t>
  </si>
  <si>
    <t>Liabs, Eq w/out AFN</t>
  </si>
  <si>
    <t>Cash &amp; Short-term Investments</t>
  </si>
  <si>
    <t>Gross Profit</t>
  </si>
  <si>
    <t>Net to Retained Earnings</t>
  </si>
  <si>
    <t>Current Assets</t>
  </si>
  <si>
    <t>Current Liabilities</t>
  </si>
  <si>
    <t>Financial Ratio Analysis</t>
  </si>
  <si>
    <t>Liquidity Ratios</t>
  </si>
  <si>
    <t>Current Ratio</t>
  </si>
  <si>
    <t>Quick Ratio</t>
  </si>
  <si>
    <t>Cash Ratio</t>
  </si>
  <si>
    <t>Activity Ratios</t>
  </si>
  <si>
    <t>Inventory Turnover Ratio</t>
  </si>
  <si>
    <t>Acct Receivable Days</t>
  </si>
  <si>
    <t>Acct Payable Days</t>
  </si>
  <si>
    <t>Total Asset Turnover Ratio</t>
  </si>
  <si>
    <t>Debt Ratios</t>
  </si>
  <si>
    <t xml:space="preserve">Debt/Equity Ratio </t>
  </si>
  <si>
    <t>Debt/Total Assets Ratio</t>
  </si>
  <si>
    <t>Time Interest Earned Ratio</t>
  </si>
  <si>
    <t>Profitability Ratio</t>
  </si>
  <si>
    <t xml:space="preserve">Operating Profit Margin </t>
  </si>
  <si>
    <t>Net Profit Margin</t>
  </si>
  <si>
    <t xml:space="preserve">Return on Equity </t>
  </si>
  <si>
    <t xml:space="preserve">Return on Assets </t>
  </si>
  <si>
    <t>Cash</t>
  </si>
  <si>
    <t>Unusual Gain</t>
  </si>
  <si>
    <t>Surplus funds</t>
    <phoneticPr fontId="2" type="noConversion"/>
  </si>
  <si>
    <t>Projected Free Cash Flow to Firm</t>
  </si>
  <si>
    <t>EBIT(1-T)</t>
  </si>
  <si>
    <t>Depreciation &amp; Amortization</t>
  </si>
  <si>
    <t>CapEx</t>
  </si>
  <si>
    <t xml:space="preserve">FCFF </t>
  </si>
  <si>
    <t>Terminal Value</t>
  </si>
  <si>
    <t>FCFF+TV</t>
  </si>
  <si>
    <t>Enterprise value (value of operation)</t>
  </si>
  <si>
    <t>Excess cash &amp; nonoperating assets</t>
  </si>
  <si>
    <t>Company value</t>
  </si>
  <si>
    <t>Debt value</t>
  </si>
  <si>
    <t>Equity value</t>
  </si>
  <si>
    <t>Equity value/share</t>
  </si>
  <si>
    <t>D OCA</t>
  </si>
  <si>
    <t>D OCL</t>
  </si>
  <si>
    <t>Cash Dividends</t>
  </si>
  <si>
    <t>Stock Repurchase</t>
  </si>
  <si>
    <t>Stock Repurchase</t>
    <phoneticPr fontId="2" type="noConversion"/>
  </si>
  <si>
    <t>INPUTS/ASSUMPTIONS</t>
  </si>
  <si>
    <t>Growth rate after 2027</t>
  </si>
  <si>
    <t>Tax rate</t>
  </si>
  <si>
    <t># of shares outstanding</t>
  </si>
  <si>
    <t>Data from Bloomberg</t>
    <phoneticPr fontId="2" type="noConversion"/>
  </si>
  <si>
    <t>Cost of Equity</t>
    <phoneticPr fontId="2" type="noConversion"/>
  </si>
  <si>
    <t>Cost of Debt</t>
    <phoneticPr fontId="2" type="noConversion"/>
  </si>
  <si>
    <t xml:space="preserve">   Risk Free Rate</t>
    <phoneticPr fontId="2" type="noConversion"/>
  </si>
  <si>
    <t xml:space="preserve">   +   Equity Risk Premium</t>
    <phoneticPr fontId="2" type="noConversion"/>
  </si>
  <si>
    <t xml:space="preserve">      Beta</t>
    <phoneticPr fontId="2" type="noConversion"/>
  </si>
  <si>
    <t xml:space="preserve">         Expected Market Return</t>
    <phoneticPr fontId="2" type="noConversion"/>
  </si>
  <si>
    <t xml:space="preserve">   1 - Effective Tax Rate</t>
    <phoneticPr fontId="2" type="noConversion"/>
  </si>
  <si>
    <t xml:space="preserve">      Effective Tax Rate</t>
    <phoneticPr fontId="2" type="noConversion"/>
  </si>
  <si>
    <t xml:space="preserve">      x   Country/Region Premium</t>
    <phoneticPr fontId="2" type="noConversion"/>
  </si>
  <si>
    <t xml:space="preserve">   x Total Pre-Tax Cost of Debt</t>
    <phoneticPr fontId="2" type="noConversion"/>
  </si>
  <si>
    <t xml:space="preserve">      Note Rate x ST Debt to Total Debt</t>
    <phoneticPr fontId="2" type="noConversion"/>
  </si>
  <si>
    <t xml:space="preserve">         ST Debt to Total Debt</t>
    <phoneticPr fontId="2" type="noConversion"/>
  </si>
  <si>
    <t xml:space="preserve">         x Note Rate</t>
    <phoneticPr fontId="2" type="noConversion"/>
  </si>
  <si>
    <t xml:space="preserve">      + Bond Rate x LT Debt to Total Debt</t>
    <phoneticPr fontId="2" type="noConversion"/>
  </si>
  <si>
    <t xml:space="preserve">         LT Debt to Total Debt</t>
    <phoneticPr fontId="2" type="noConversion"/>
  </si>
  <si>
    <t xml:space="preserve">         x Bond Rate</t>
    <phoneticPr fontId="2" type="noConversion"/>
  </si>
  <si>
    <t xml:space="preserve">   x Debt Adjustment Factor</t>
    <phoneticPr fontId="2" type="noConversion"/>
  </si>
  <si>
    <t>Cost of Capital</t>
  </si>
  <si>
    <t>Cost of Capital</t>
    <phoneticPr fontId="2" type="noConversion"/>
  </si>
  <si>
    <t>Market Value</t>
  </si>
  <si>
    <t>Weight</t>
  </si>
  <si>
    <t>Equity</t>
  </si>
  <si>
    <t>Short-term Debt</t>
  </si>
  <si>
    <t>Long-term Debt</t>
  </si>
  <si>
    <t>WACC after tax</t>
  </si>
  <si>
    <t>intrinsic enterprise value</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</si>
  <si>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</si>
  <si>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</si>
  <si>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</si>
  <si>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</si>
  <si>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</si>
  <si>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</si>
  <si>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</si>
  <si>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</si>
  <si>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</si>
  <si>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</si>
  <si>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</si>
  <si>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</si>
  <si>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b39157aa-be9d-4afb-b905-08a632a8b3d2</t>
  </si>
  <si>
    <t>CB_Block_0</t>
  </si>
  <si>
    <t>㜸〱敤㕣㕢㙣ㅣ㔷ㄹ摥㌳摥㕤敦慣敤搸㡤搳㑢㑡㘹㕤㑡㕢㕡〷㌷㑥ㅢ摡〲㈱昸㔲㈷㘹㥤搸㡤㥤㤴慡㔴㥢昱敥㤹㜸㥡㥤ㄹ㜷㘶搶㠹㑢愵㔶搰㔲㄰ㄴ㈴㙥愲㔰愰慡㄰ㄲ㉦㕣㕥捡昵〵㠱〴㐲慤挴〳㍣㈰昱㔰慡ちㅥ㐰㈸ㄲ㉦㝤㐰㠲敦㍢㌳戳㍢戳昶㡥摤㙤ぢ㉥昲㐹昶捦㤹㜳㥢㜳捥㝦㍤晦㝦㈶㌹㤱换攵晥㡤挴㝦㤹昲捣㕣戵戰收〷搲ㅥ㥢㜲敢㜵㔹つ㉣搷昱挷㈶㍣捦㔸㥢戵晣愰〷つ㡡ㄵぢ昵㝥愱攲㕢㡦挸㔲㘵㔵㝡㍥ㅡㄵ㜲戹㔲㐹搷㔰捦㐱昸ㅢ㡡ㅦ㜴昶敡捦〳㉣㑥㑤捥㉤㍤㠴㔱ㄷ〲搷㤳晢㐶㑥㠷㝤て㡤㡦㡦㡤㡦摤㜶晢昸晢挶昶敦ㅢ㤹㙡搴㠳㠶㈷て㌹戲ㄱ㜸㐶㝤摦挸㝣㘳愹㙥㔵敦㤱㙢㡢敥㌹改ㅣ㤲㑢晢㙦㕤㌲㙥扢㘳晣戶㠳〷捤㍢敦扣愳ㅦ慦捥㥤㤸㥡㥣昷愴改扦㐹㘳ㄶ㌸攵摢愶㘵搵攲摡愴昴㉣攷散搸搴㈴晥㈶收㡦愷摢挷ㄶ㤶愵っ昸㙡改㐹愷㉡㝤ㅤㅤ晢散〹摦㙦搸㉢摣㍣摤㥥挱㔲慢㠶ㅦㄴ散㈹㔹慦敢㜶㍣㙡挹㥥挳摥搵㡤戵㝥㝢㐱㍡扥ㄵ㔸慢㔶戰㔶戴ㄷ㌱㔰㙤挰㍥攵换㤳㠶㜳㔶㥥㌰㙣㔹戰㡦㌴慣㕡㍥㑣戹㥥ㅢ攳㈱㤲ㄳ㔳换ㅦ㥢昰敤愹㘵挳㔳㌳昲戹㌱ㄹ㙤㘷扣㙡扡敤㜵㥤挷攵搴搵ㅢ㌸收昵㥤摢愱收戴攱㌵㕢㡥㜶㙥ㄹ㉤㍥㍤㠳㕢㍡户㑦散㔱扡捦㑤㥤晢愸慤㑣户ㄶ㝤ㄱ㝤慢ㅤ挵㘲昴㈲㐱㉦㐱㠹㠰〸搴换〴㝤〴晤〰㈲晦㑦㜰㐹戲㈳慢戴㡡愱㔵㤶戴㑡㔵慢搴戴㡡搴㉡愶㔶㌹慢㔵㤶戵㡡愵㔵ㅥ搲㉡攷搰㈶㑥愵摥㕥㉤㑡㜳愳昷㥣㜹敡㤷挶搴㜳〷㕦㍤㜷收㡥㤹㔳晤扢搰攸摥㘸㔲搳㥥㜱ㅥ愴搶愲攲〳㘳晢昹㘷㜳慥〰㔳㤸〷捤摢捤昱昱摡挱晤挶慤㐶㠱换捡㐰㝥㡡㔰㠶搰戶摦扣捦㜲㙡敥㜹㠵扢慢㈶つ㕦戶㌶㙥㌴慡㥢㜴ㅢ㑥捤㝦挷挶㤵ぢ㠱ㄱ挸㉢摢敢㕡㠳慣敢戶〰戶㤲扥㝡摦搵敤摤㑥ㅢ昵㠶㥣戸㘰㠵搵敦㙣慢戶攷㍤㜷愹㜳敤㡣㈷ㅦ㙥搶慥㥢搱〴㠴摡慡ㅡ㝢摤㉡挳慡㜰㕥㈳㔳换慥㉦ㅤ㌵扤㔱㝢摥慡㥥㤳摥㠲愴㐸㤴㌵戵搴㑢㔹ㄵ㜱晤攸㥣㠳㠵㠲㕢㙢敦㑡㤶㥡㜷㕤〸挰捣戲㠶昹慥㐸㉦㔸㕢㌴㤶敡昲戲㔴㤳昰㥤愸搸㥢㉡㥥㜱慢つ㝦捡㜵〲捦慤愷㙢㈶㙡慢〶㈴㑤敤戸㕢㤳昹㝣㑥〹〵〸摣㥥ㅥ㈱㜲㌷㜷收〵㠵㠸〴㡡挹挸㔷愴挹㙥散㈴㔶㠷㔵搴㈵㘹㔲㝢昷㈶㠳㜱扥㑡挶㘴㜰㘰㘲㑤搴ㅦ㝣改㝢㌶ㄹ戶㠹戹户戶戱愶つ㐷慢扦㙢㔵㍡挱㔱挳愹搵愵㤷愹晤〴㘷愴て〲ㄴ㉥㐲㈰㜴摣㍤慡㍡㜱㐱慣ㄵ捥㕢戵㘰戹戸㉣慤戳换〱捡愰㈱㑢㈵㙥敤扡愴㕦㠲㈲㝤㌷挱㌰㐰戹㥣㉢敥㘱愳㘲ㄹ㈹㔷愰㜴捡攰攵㤴㈰㘷扦ㄴ㉦昷㥢㌳㔶㍤㤰愱㔰ㅥ㌴㠱㤱㔰慢㈹昴つ㤰㐴㍤愳ㅡ㉡㡣㍤收ㄴ愸搴戰㥣㘰慤挵户敢戸㈴㈴愲ㅤ㔹戰敤㘴〱㐵㐱㕡ㅥ㘴昰ㅡ㠸愶㑤ㅡ㘴㌷㑥㄰ㄱ搹㈰㐳戳㘳攴㌴㤱戱㝤㠶㡣㐰晢㈴ㄱ戲昵晥捥㌲㠲挴扥㥥㐸搹愹㈳㍦敥㐸戳㡤㙣昹㔰㥡㕤㡡㡤搳㉦㈳戸㥣攰ち㠲扤〰攲㉦㤰㜰㤴㜲挸愷㤳晥づ㍣敢㔷ㄱ扣ㄳ〰昲㐹愷捣㠹㐴ㄵ㙤愸慤搸㤱㙣㌷〰㍢㔹ㄹ挵愱㈸愲㘵摣戴㌳〷㙣㠵攸挸敡摣ㅥ扡㌶慦㜴散つ㥤㘹㌳戹ㅣ㔲㘴㐶搳攴㕡㌷㘹㥡摣〸㌶敤㔲㙦㕤㠳慥晡〸挱戵〰㘵晤㕤㠴㔰㉥㌴㜸户㘶搱搳愴㝣㕢㤸㐵愱㌱搴愵㠲㡦〸㤹㐷㠰っ㈱户敥昸戲㘳㐳搳ㅣㅣ㌵摦昶㌶昴扥捥晣ㅤ㈱扤㑤㙦敥攸ㅤ晡㡢㕥愷ㄵ㝤ㅤ搸㑢晣愹愳㡥戹ㅥ搵晡つ〴㌷〲戴改ㄸ㥥扥㕦慦愷㐰㤹挵㜶〲㜳扢改㜵㔱㔶敥攲摡㡡㔴ㅡ愸摦㕣㌴扣戳㌲㠰〷攳搸㌴㙣㘱搷昳㘴ㅤ㠷摡㥡㉡攰昹攵昲㜴愱㍦攳戹㌶换㜷㙣㘴晦㙤愱ㄸ昲㜹慤㈷搷㘶㈳㘷搸㥡〹㥦㔳㠲㜲愸㠳㙦敤㉣㈴ㄲ㥤搲攴挵㝥搹攷换ㅤ㐹搲㠵㈴戹〹摢慡摦っ〰㈹㈱晥搰㔱愲散㘳戳昷慡㘶㘹㡢㤵ㅥ扥㡣搳㐹㥢て㜱㥤ㅣ改ぢㅤ戶㤳昰ㅦ昸〳昶㠲㘵㌷㠵㐵㥦㍤㉦扤㉡㝣ぢ㔶㕤㤶㐳户㉣㐵捤㡥慣㜸㥢挸㡡㥥㥥㜵攷改っ晦㥡愲㤳㌶㈹㤱挹敤㤹㤵ㄹ㘷昱ㄶ㔱搱つ㐹愱㤲攱ㅡ㙡㑡㈰㔲ㅥ摢敥㠸㤸㉥㐴捣㉤搸㌸㝤㍦挱㌸挱〱㠰挲㑢㤰㌴㕢摤㜸㠶挳㝡㔷改搲慥㔴㜲㈵愲㐱戹〸㕦散㈸慣づ昲㌵敦㈳戸ㅤ愰捤晣愱〳㌲㠳㄰ㄵ捡ㄳ㠴愸挲ㄸ收㘹㑢㥥㈷つ散㌲ㄱ㔸㥡㙡昸㠱㙢㌳戲㌴㘰㑥扢㈷摣㘰摡昲㔷㄰㠹ㅡ㌶愳捣㝤换搲〱㜵㜹戰㝤摡捡摣㤵ㄵ㔹搳捤〵户〱搱㜶㙣㝡㍢ㅣ捣戱ㅤ戰㈵搵搹㕣ㄳ㐸摤㥤㡦㌱㠴挰㑥㉢㝦㉢扤戱㕢昲㝥昳搰㌷搸摡搱㐵㉢愸换㍥㌳㘴㍡收㑢㈶㜶ㄱ㤱㠳㕡慦戹戸散㐹㌹㍤㘰ㅥ昱慣㕡摤㜲㈴㤱〱ㅢ㤳挱扡㔹㜹ㄶ㔱㠲㜹㤷㌱㐰搷ㄹ㌰ㄷ㍤挳昱㔷っ〶ㄴ搷㜶愷㥥㔴㔸愴㘰㑥㕡㡥㡦搷㈸㉣㌲㍦㘸㉥㉣扢攷ㄱ戱㙤搸捥ㄱ㘳挵摦ㄶ㔸㈱搱㠷㐹愱㐶㘸㐲搳㐴㐹㉢㜵㡢ㅦㅥ挸㜳㌹昲㕥㥥㐰攱㉡㔷愰捦㍣㐳㝢搳慥㡦㘲㌴戴搳㌹愷㝥㐴㡦㥡㠵㍤㤹㔲㤸㥣慡摦挹㍥敦〷戸晢挸愹㘳慤挸摣ㅢ㡡㔹ㄷ攸攵捦㤰昱㡡㉣㥡㠱㄰晡攸㜶㠵愴挲㌲㔲づ㌸㄰ㄸ攷㔳㍢昹㤵㑤搵㠶搴户慢㤵㥤㐱㈴愹摦㥣㌵㤶㘴ㅤ昱㘸摢〸㜶㠵て㌴㘳㙤愳敥㐷㜵㔳慥㙤ㅢ㈴㉤㤲攵㐲搵㈰〵㑦㌴〲昷戸攵攸㈶㠰愲扦愸挸戸㠰㈲攳㠲㉡敡㌷㑦㌲㌴愸昲ㅣ换㍤㙢㜸㔶戰㙣㕢搵ㄲㅦㄸ扥摢ㄶ㌴〹㈶愷攴㡤㔳㉣㌳㐶摡慣昹㔳㌰搹晣㌱愰㝢っ㜲㤴㕢㐷昴㠳㜲㌵㔱挴ㅦ搱愵㘳〹〲㐶㜹㑡昵て㘲戴㠲扡ㅤ〱㤱愳搲挵昸づ挶挵挷㔰ㄲち㈱㘲㍤㠳㐴攰ㄵ㑣〸㜹扡戸㡢收㈹挷ち㠰㍤㘲㙣挶ち愶㝤愰ㅣ〰㔹㜵扣扤㔲㘱㌵搱㘹戴愹ㄵ慥㔹㕦㤵㔲ㄳ㔷慦慦㑦敡㡤㜷㙦㔰ㅤ㙡㤴㠴㈲搹慣㤱搲㉣ㅢ捣㜱㍢愹ㅡ愱ㄴ㜷慣㙤㐴㤶摢戴戵敦㤴㈲㙦㐰㌱㈹㥡挹改ㅦ㔲㠴㠲㐰㙦愴愳攸戳捦㈶㡦㐴挴㠶㌶㐰㤹㝡㉡㉣ㅢ㠸㐲㠲挷㜰敤愴㈶换搱ㄳ昸㝢㔷㤴㥤㙢〴愹ㅡ攳挲㜰㔴㌳㔱慦捦㌹戰ㄲ慡㠶㔷摢㈶㉣㡤戵㠵ㅡ㐶㜱㘷户摡㍦摣摥〴㈳㐶㙣挸戰㐸㠶ㅦㄸ㙣〸收㑡㐴㔴㘹㥤つ㜰慢㥢挵㈵㍥ㅤ㤷㠶愳㌰戰㄰搴愶攵慡㌲挳㕡㤶晣戰敡搰㍣㉤㉡㌹慡㥢ㄳ㑢㍥㔴㝡㐰㌹ㅥ攵ㄴ㠳敢收㐹扡愵㜰㠹〱㘲㌷捡捤㔷〳㠴㜶㥢〳昰㘴戰㝤戰㠳ㅤ〹㐳㈷戴捥㈸㐱㡢ㄹ㠴㥢㕥〴㜹愷㑢㡣㐲㤰㥡㉡晤攳戰昸摡㌳㑣摦㍤㥣㡢㌳ㄱㄳ㌱摣㤵㘱㍤〰戹挹挸㈴戹㘸㌸づ㤸㠷㤲㑤〹慤晥戸㡣㈶挶〰㑤㍥㉦挰㉤ㅥ挶戲〶挹㌶㜵摣㜳ぢ㉣㘸搳晡摡㉥昳㤸㔳慤㌷㙡㔲愹攲㔸㔶㉢㡤扣㉤昰愵慥〰㠶摣㤴戱㉦搱愶ㅣ挳㔱㡡㑢㈶㤲扡户扢昵挳攸慥㠴ㅣ挶〸㔵ㅦ〳㤰ㄹ㙥㌹ㄵ㄰㕢㜷㑦㠱昶攱敥搶〵〶㜵㜹づ㈲㙤㕤ㄱ㘵搹㉣敥攳㌵愳挸㡡摢ㄲ捤㘶摤㔹㤷㌶㝢愲攸愸ㄵㄶ㙤ぢㅣ㘱㥤愱挰㉢ㄶ㘱㡣㜴挹ㅤㅣ㈴㜷㌱㡡敥㕥㝣㑣㍤收㉥〲ㄵち〳㠲㌱㕥㥥㠲㜲搸㔵㌰ㄲつ㙥慤㘵㜵ぢ㐶㝦㘹㜹敢ㄳ〰㠲㘱㘰ㅡ戴㘸ㄹㅡ㌸㔳挸㙦㙥攰㕣㠳㔶ㄹㄱ搲㘴㌰㤵㌱捡㘱㌸散㠱㌴㜰ㄳて搲㡢㉥㤴㔰戰㐷㕤っ㡢敦㈶㡥摡㌸〲戹摥㘵㙤㠵昳㐶㠰敢㉦捥摥戶攲㠹㕡㡤收㉥晣㜳摢〲慢戸扡ㄱ㥡愳㝢摡㉥㘵愹㌵搱扥扢慥慤㈲扡㉣㜸㘰㝡散愸ㄱ㔴㤷ㄷ㠲戵昰攲㔶户㈴㔱昸㌹晣ㄱㅢ扥㥤㌶㜳摥攱㐵搴㔵敥㝤昹㥣攳㥥㜷搴扣ち㍥㙦晤㠱㐲㜰㠵戲㤷㤳㉣攷晥㡤㍦㉡㘹戹挲捦㌰攲㔶愶捤〱㕡づㄲ㡥愳敥㕤㠶搲㘰〴㡦ㄹ㜴〲摢扤㜹㙢㠰㜴戲愷㡤㑥㤴㈰搸㈱ㄴ攷散㥢㐶㈸攲愷㐰㉢㠹㈵㍣㤲㘳捦扦〳搶ㄷ㍦㐱〹ㄱ捥慢ㅤ㤱㈰扦㌶ㅢ㜵㑡㤰㐷㔷㍣搸敢晦〷㑢㌱㌷㙦挸㑥晦〵㘶ㄶ㍦㙥㐷搱搵㐴搱㡦㈲ㄴ昱㐲㘱㠸㈲挱㙢㈰㡡㝦敦㐶㈶㑥〵㠶㘷㕦㔷㈰㥣㙢摡㌹㠰扥攵ㄷ㝥晦㠷〷搰搹㠸㌸ㄴ摤㈰搴㜶㍤㥥㥢㈶㐲捦㍡ㄳ㠱挱㝢㘵㈲ㅣ㐷㐶㌰㡡ㅦ㥡〸㤱て㘴づ〵㥢㥢〸㡣敤㘵ㄸ㠲㠹㔰㙢挲慤挱ㄳ搸㘵㌶晤㘳㐷㜱昱㔶晡㠸攷㐳㘹昹㔳昰㐸㕤扥扥㜸摥昰っ㝢慦㉡㍦攲㐹㈸㌳㙦ㄱ㌷戹㔵ㄷ昶戸㜲挳ㅡ搵㘹〳㕦㐵散㘵摦昱愷㙣敤晥㍡㌰ㄵ愶搰㝤㉦㑡愲昸〶㍣㈵㠲攷㠶摣挷昶㝣敦挸㥦ㅦ㜹攲㌰㙦慢㐵戴㕡戸ㄹ昹㙥㐲昶戴㈷㄰搴㑤㕣ㄴ戹㤴ㅦ收ㅣ挷㈷㑡搶㑡㕤㑥ㅡ㥥戲㠲㝣摤㡥戳㈱攱㈵〸㌳㈴扥敤㘰㘲攲摥㐳㘸㘲㡥戵戹㍢搵㠷㑤捡㐵㌸㤶㤸戸昲改挵㘱㐳搱㔱㤱㜵㘹㙤ㄶ㝥〰㔵昴㍡㈷㤲戶ㄲ㜹敡㘴ㄲ攲晢敤扡敥㈰㜵㕤㜸㤰㘱搸㍦㤶㔲㠸㍦㤰㐲㤲〷ㄹ㕥〸㔰㔲敡㈴㌲㠵㕢〰㌲㈲㙢敤㈱㕥晡〳㜶㠴㠰㙣㕥晡敢昲㈳ㄶ散㈲戰ㄸ晢攲扢㍤搱搲ㄶ㡤㔵ㄳ㐳戵捡愶㔹㐰㐶ㅤ㕥㔸㌰ㅥ㤷愶㉣㥤〳㈸摤戲㍢㡡㉦ㄹ戰挳挰㕢挸搸〵㥢扥戶戲㝤㤷搳挰捤て攸㤹愲㔲ㄸ捥㙥ㄶ攳㐰慡㘲㜴㘱搳㜲㔸㐴㌸ㄸ㘶㥢㥤晡愲㉡攸㉣㘷㉦㑥愵〸晥昱㑢㈱搶㡦戶㠶扥戴扤㠶㍡捥改挵〲昹㠳晤㜵㜵〶㘳攳慤攴ㄸ㐸搸㉤戵㉡㠵搷挳㑦愱ぢㄷ㥤ㄳ㝡㉢慢㥥挵㐱晣ㄳ㜳㔶㡦戶㑥晦㌳㝡慤㌸敢㌴㝢㌳㡣㥤搲晦ㅦ㐱挱愶晡㕦㌰昶愶㄰㜹㝦㤴攱㐳㠱昱㤳㑤㐳㌶摣ㄱ㜸戶ㄱ扣㔱〷㘳㕤㘵ㄹ昲づ㜳ぢ昸㜸㌵慣㔶ㄲㅣ㝥慦㝣晢搵㠸㘶㕦摡戶㝤ㅤ〵㈰㘳㐳㠵敦㐰〴㜵散㥦㤶㕢ㅣ㡤愹昸〰挰㥥攳㔶搵㜳㝤搷っ㐶ㄶ㄰昴ㅤ攱户㘷㈶㙣㥥〹昱敤㜶愱㜶ㅤ㜶愲晦㐱昴㌹㌱〷㠱㝤㐲〶㙦㔶㉣㤲㤱㠵慤㐵㌲㜸㙣ㄸ㑡㠴㤷愸ㅤ晣㑢捣㝢ㅢ㐶ㅤ㥦慥捥挱搷ㄹ戰㘸㕢㈸扢搰攳摣㝥㐳㠳㕢㠷㍢㕡昷挰ㅦ㈴敢㘳〸㡥愹㈵㍣昰㈰昷戵㝤て搲㙤愳戵昹㙣搹㥤捦慤㕣㜸ㅥ㌸摤摡㕢搲㈴挳㜷昲㡢攴戲㕥㈱挴愵㝤㌸敡戲ㅣ搷㙤づ㕡㡥㌶っ㍡㡦㍥攸愶㈳㙣戴づ昷搹ㄶ愲摦㘷搰㔵㑣㄰攰愷ㅢ㔱㠶て㠲㕥㍥戲愲昸㈶㤶㐵〶㐰㍥㔷慣〲㜴愶敡㘷㌷愲敡愱㔸㈰ぢ㥥㌱㐸㡥㘵昱㜵㌴攴㜶㠵换〶㑢㜰搹㐲㥤㈵㤰搷攳ㅥ挸攷〴捦ㄲ㙡㈲㕦㐵㠷收㐴㉣㤴㜶㥥挸㔷㌶㥡㠸愰ㄵ愰ㄶ㥡ㅣ㝦㈸搶㈲㝡ㅤ搵扡㑤攰㄰戸〰㠳ㄴ㡢㤴㌵挵㌰戴昰ㄳ㘲〶改㜷搱扦㉦ㅦ㝥改㐵愶扦ㅦㄶ㑡㄰愲㉡㍤㜹ち㐲㌵昹捦㈷㈷敦愱戴昳攴㥦摥㘸昲㐳㤴㤱㥣㠹ㅥ〰っ昴㠸ち晥㔱㡢㘹㈰挳㝤攴㑦㥣㈱挰㉦㌵㡢㈱〳㈵慡敦㜹㘴搰㤷ㅢ慥㕡㕤㐰㈶敥㕢攰晡㌳㍥敥㔱昶ㄱ㉦㐲搲㤷㔳っ㥤戱挵㔰㉢㤶散挸ぢ扢㉤㘴〳㤶挴慦㘵㍢㡡昴㘲㤷ㄱ㝥昱㔴㡣㤸愳㐷攳㉦愷戴㈸收〴挲〸㉤㔲搲て㌷㔲㝣㌲㙥晣挳ㄷ㕡㉥㔳㔴㈰㠱㝡挲挶愴㌳搵昸挹戸昱〱㝣㤵愵摡攴㜸㠳㠰改攵戸㌱改㔱㌵㝥㈲㙥晣户〳㝢㥢㡤㘳㍡っ㐷㉥㤰㐸㌲㙣㕤㘵晤㈷扥搰ㅥ㐴昳㠲㐹晤搹㘷㠶挵㤴㥣㉡㜴㕣㔷ㅡ戴ㅦ㤷㐱㍣㝣㈳㍤㡢扢㑤戸〲〲㈱ㅢ晥㔷〹挷㜰攷㘹摡〸っ㝣〲扤㡡㘰戳愷慢㈷㜶㉥㥡㜳ㅥち㝡捤㘳㍥捥㔴戵㙤㐵㈲㌰〷昲攱晥㙥攲㤴捦㌰ㅤ㕢晢ㄱ〷挹㌴摥㈱改㑥㜹愸挰㑡㕥㝣㍣挶㙣敥昱ㄶ捤攸㡦〱㌹㤰㡥㠰捣攸㡦〳㠶㠱ㄸ摥㔶捥つ㤱晦ㄵ㜳㝦㥣ㄵ㥦㈰㜸〲愰㉣挸散愴㠳攲㤳〰㠳昱㝦㔴㌱戲慡晣㈵㥡㜸㈴㝥㔹㤲㡣昴愷搸攱㔳〰㍤㜰摦㡡㠸〸换晡愷㔱㤲㝣㈹〵㠷㝡改㘷㔸昱㔹㠲愷〱捡〵㑥㜶换扢挶㌵㜵愹戹㍥㠷慥攲㜱〲晣昴捦㐷ㄹ㍥ㄴ戸てㅦ攸㙣㉢昳㈸ㅣ㝦搸て㑤㥡晡㠲晦㉥㝣㤱扦挶㐵昷攰㍦㈴㈹㈸挳㍥慦扤扦扢戱挸〴戴挹搵㙦〵㥢晤〶挶攱扡㕡ㄱㄴ㡥㐸愵㔲搲㡡㠲昸收㠲㠵㡢㌷昰㉤㠷㔴㠵㄰愴〱㔵攱㐴ㄵ㠷㔱愰㝦㤱㑤㠹㘳攲㐹晦ㄲ㥦㠸㕡戵㠹㕦㡥㌲㝣㄰挴慢敡晥㔰搴㍤㝥㈱㜱慤㉡慣戶ㄷㄲ晦慡㘲㌹昹挲㘷㌸㤸㐲ㄶ㌲㘹慤㐴愴㈹ㅡ晡㍡㌲〳㍤㠳㥣摢㝤昸㘹ㄷ㐴昵㑣敤捣㤹搷〶昳㈳㔷收㍦昲攱晥㘷㕥晥敤㉢㕦昸晤㐷て晤昵㕦捦㍥晢晢㔷扦昰攲扦㝥扥㜴攸搷捦㍦晦慢扢扦昵攲㉢扢捤攷戴ㄷ㕥㥢㝤敥搱昱㜳㡦㍥㙣㥥扡昹挸愳昷㍦㜴敦昸晣㈵愳㍤㍤扤扤㌷づ晦收㡡昷っ㍤晥昰㡦挵㉦晥㜸戹㈳搴㜲昱㠲昴㌴戸㙣㌵㡤㙦㈰㠳㘹㜰挶㙦改㌴戸㕣戵㔱㑢搱㐶㑤愲愰〴㥦〶㈷愰㉡㡣㜴㐵摦㝦〰㜷摤戱搳</t>
  </si>
  <si>
    <t>Decisioneering:7.0.0.0</t>
  </si>
  <si>
    <t>1a9866d9-9b40-4307-bdf8-963157081eba</t>
  </si>
  <si>
    <t>CB_Block_7.0.0.0:1</t>
  </si>
  <si>
    <t>㜸〱敤㕣㕢㙣ㅣ㔷ㄹ摥㌳摥㕤敦慣敤搸㡤搳㑢摡㤲ㅡ㑡㘹愹㠳ㅢ愷㑤㑢㠱㄰㝣㘹㉥挵㠹摤搸㐹㕢ㄵ搸㡣㜷捦挴搳散捣戸㌳戳㑥㕣㉡戵㠲㜲㔳㈹㐸攵㈲ち〵慡ち㔵㠲〷㉥て㐰戹扣㈰㈱㠱㔰㤱㜸㈸て〸ㅥち㐲㔴㕣㠴㈲昱挲〳ㄲ㝣摦㤹㤹摤㤹戵㜷散㙥㕢㜰㤱㑦戲㝦捥㥣摢㥣㜳晥敢昹晦㌳挹㠹㕣㉥昷㙦㈴晥换㤴㘷收敡昹㔵㍦㤰昶搸㤴㕢慦换㙡㘰戹㡥㍦㌶攱㜹挶敡㡣攵〷㍤㘸㔰慣㔸愸昷ぢㄵ摦㝡㔰㤶㉡㉢搲昳搱愸㤰换㤵㑡扡㠶㝡づ挲摦㔰晣愰戳㔷㝦ㅥ㘰㘱㙡㜲㜶昱㝥㡣㍡ㅦ戸㥥摣㍢㜲㍡散㝢㜰㝣㝣㙣㝣散㤶摢挶㙦ㅤ摢户㜷㘴慡㔱てㅡ㥥㍣攸挸㐶攰ㄹ昵扤㈳㜳㡤挵扡㔵㝤慦㕣㕤㜰捦㐹攷愰㕣摣㜷昳愲㜱换摢挷㙦㌹㜰挰扣晤昶户昷攳搵戹ㄳ㔳㤳㜳㥥㌴晤㔷㘹捣〲愷㝣换戴慣㕡㕣㥢㤴㥥攵㥣ㅤ㥢㥡挴摦挴晣昱㜴摢搸晣㤲㤴〱㕦㉤㍤改㔴愵慦愳㘳㥦㍤攱晢つ㝢㤹㥢愷摢㠷戱搴慡攱〷〵㝢㑡搶敢扡ㅤ㡦㕡戲㘷戱㜷㜵㘳戵摦㥥㤷㡥㙦〵搶㡡ㄵ慣ㄶ敤〵っ㔴ㅢ戰㑦昹昲愴攱㥣㤵㈷っ㕢ㄶ散㈳つ慢㤶て㔳慥攷晡㜸㠸攴挴搴昲挷㈶㝣㝢㙡挹昰搴㡣㝣㙥㑣㐶摢挳㕥㌵摤昶摡捥攳㜲敡敡つㅣ昳扡捥敤㔰㜳摡昰㥡㉤㐷㍢户㡣ㄶ㥦㥥挱㑤㥤摢㈷昶㈸摤攷慤㥤晢愸慤㑣户ㄶ㝤ㄱ㝤慢ㅤ挵㘲昴㈲㐱㉦㐱㠹㠰〸搴换〴㝤〴晤〰㈲晦て㜰㐹戲㈳慢戴㡡愱㔵ㄶ戵㑡㔵慢搴戴㡡搴㉡愶㔶㌹慢㔵㤶戴㡡愵㔵敥搷㉡攷搰㈶㑥愵摥㕥㉤㑡摦昸昳㜷㝦扦戲㘷㜱昲戱摦晥㘵昶愵㈷㕥晡㐰晦づ㌴扡㉢㥡搴戴㘷㥣〷愹戵愸㜸晦搸㍥晥搹㤸㉢挰ㄴ收〱昳㌶㜳㝣扣㜶㘰㥦㜱戳㔱攰戲㌲㤰㥦㈲㤴㈱戴敤㌷敦戶㥣㥡㝢㕥攱敥敡㐹挳㤷慤㡤ㅢ㡤敡㈶摤㠶㔳昳慦㕡扦㜲㍥㌰〲㜹㘵㝢㕤㙢㤰㌵摤收挱㔶搲㔷敦摢搳摥敤戴㔱㙦挸㠹ぢ㔶㔸晤㠶戶㙡㝢捥㜳ㄷ㍢搷ㅥ昶攴〳捤摡㌵㌳㥡㠰㔰㕢㔱㘳慦㔹㘵㔸ㄵ捥㙢㘴㙡挹昵愵愳愶㌷㙡捦㔹搵㜳搲㥢㤷ㄴ㠹戲愶㤶㝡㈹慢㈲慥ㅦ㥤㜵戰㔰㜰㙢敤㑤挹㔲昳㡥ぢ〱㤸㔹搶㌰摦㘵改〵慢ぢ挶㘲㕤㕥㤶㙡ㄲ扥ㄳㄵ扢㔳挵㠷摤㙡挳㥦㜲㥤挰㜳敢改㥡㠹摡㡡〱㐹㔳㍢敥搶㘴㍥㥦㔳㐲〱〲户愷㐷㠸摣㡤㥤㜹㐱㈱㈲㠱㘲㌲昲ㄵ㘹戲ㅢ㍢㠹搵㘱ㄵ㜵㐹㥡搴摥扣挱㘰㥣慦㤲㌱ㄹㅣ㤸㔸ㄳ昵〷㕦㝡挳〶挳㌶㌱昷摡㌶搶戴攱㘸昵㜷慣㐸㈷㌸㙡㌸戵扡昴㌲戵㥦攰㡣昴㐱㠰挲㐵〸㠴㡥扢㐷㔵㈷㉥㠸搵挲㜹慢ㄶ㉣ㄵ㤷愴㜵㜶㈹㐰ㄹ㌴㘴愹挴慤㕤㤳昴㑢㔰愴敦㈴ㄸ〶㈸㤷㜳挵㕤㙣㔴㉣㈳攵ち㤴㑥ㄹ扣㥣ㄲ攴散㤷攲攵㝥昳戰㔵て㘴㈸㤴〷㑤㘰㈴搴㙡ち㝤〳㈴㔱捦愸㠶ち㘳㤷㌹〵㉡㌵㉣㈷㔸㙤昱敤ㅡ㉥〹㠹㘸㕢ㄶ㙣㌹㔹㐰㔱㤰㤶〷ㄹ扣〶愲㘹㤳〶搹㡤ㄳ㐴㐴㌶挸搰散ㄸ㌹㑤㘴㙣㥦㈱㈳搰㍥㐹㠴㙣扤慦戳㡣㈰戱慦㈵㔲㜶敡挸㡦摢搲㙣㍤㕢㍥㤴㘶㤷㘲攳昴换〸㉥㈷戸㠲㘰㌷㠰昸ㄳ㈴ㅣ愵ㅣ昲改愴㕦㠵㘷晤㙡㠲㌷〰㐰㍥改㤴㌹㤱愸愲つ戵ㄹ㍢㤲敤〶㘰㈷㉢愳㌸ㄴ㐵戴㡣㥢㜶收㠰慤㄰ㅤ㔹㥤㕢㐳搷收㤵㡥㝤㑢㘷摡㑣㉥㠷ㄴ㤹搱㌴戹搶つ㥡㈶㌷㠲㑤扢搴㕢搷愰慢㍥㐲昰㐶㠰戲晥㈶㐲㈸ㄷㅡ扣㥢戳攸㘹㔲扥㉥捣愲搰ㄸ敡㔲挱㐷㠴捣㈳㐰㠶㤰㕢㜳㝣搹戶愱㘹づ㡥㥡慦㝢ㅢ㝡㙦㘷晥㡥㤰摥愶㌷户昵づ晤㐵㉦搳㡡扥ㄶ散㈵㝥搷㔱挷㕣㠷㙡晤㉤〴搷〳戴改ㄸ㥥扥㕦慥愷㐰㤹挵㜶〲㜳㍢改㜵㔱㔶敥挲敡戲㔴ㅡ愸摦㕣㌰扣戳㌲㠰〷攳搸㌴㙣㘱搷昳㘴ㅤ㠷摡㥡㉡攰昹攵昲㜴愱㝦搸㜳㙤㤶㙦摢挸晥敢㐲㌱攴昳㕡㑦慥捤㐶捥戰㌵ㄳ㍥愷〴攵㔰〷摦摣㔹㐸㈴㍡愵挹㡢晤戲捦㤷摢㤲愴ぢ㐹昲㔶㙣慢㝥㈳〰愴㠴昸㜵㐷㠹戲㤷捤摥愶㥡愵㉤㔶㝡昸㌲㑥㈷㙤㍥挴㌵㜲愴㉦㜴搸㑥挲㝦攰て搸昳㤶摤ㄴㄶ㝤昶㥣昴慡昰㉤㔸㜵㔹づ摤戲ㄴ㌵摢戲攲㜵㈲㉢㝡㝡搶㥣愷㌳晣㙢㡡㑥摡愴㐴㈶户㘷㔶㘶㥣挵㕢㐴㐵㌷㈴㠵㑡㠶㙢愸㈹㠱㐸㜹㙣扢㉤㘲扡㄰㌱㌷㘱攳昴㝤〴攳〴晢〱ち扦㠴愴搹散挶㌳ㅣ搶扢㐲㤷㜶愵㤲㉢ㄱつ捡㐵昸㝣㐷㘱㜵㠰慦戹㤵攰㌶㠰㌶昳㠷づ挸っ㐲㔴㈸㑦㄰愲ち㘳㤸愷㉤㜹㥥㌴戰挳㐴㘰㘹慡攱〷慥捤挸搲㠰㌹敤㥥㜰㠳㘹换㕦㐶㈴㙡搸㡣㌲㜷㉦㐹〷搴攵挱昶㘹㉢㜳㤷㤷㘵㑤㌷攷摤〶㐴摢戱改慤㜰㌰挷㜶挰㤶㔴㘷㜳㑤㈰㜵㜷㍥挶㄰〲㍢慤晣慤昴挶㙥捡晢捤㐳摦㘰㙢㐷ㄷ慣愰㉥晢捣㤰改㤸㉦㤹搸㐵㐴づ㙡扤收挲㤲㈷攵昴㠰㜹挴戳㙡㜵换㤱㐴〶㙣㑣〶敢㘶攴㔹㐴〹收㕣挶〰㕤㘷挰㕣昰っ挷㕦㌶ㄸ㔰㕣摤㤹㝡㔲㘱㤱㠲㌹㘹㌹㍥㕥愳戰挸晣愰㌹扦攴㥥㐷挴戶㘱㍢㐷㡣㘵㝦㑢㘰㠵㐴ㅦ㈶㠵ㅡ愱〹㑤ㄳ㈵慤搴㉤㝥㜸㈰捦攵挸㝢㜹〲㠵慢㕣㠱㍥昳っ敤㑤扢㍥㡡搱搰㑥攷㥣晡ㄱ㍤㙡ㄶ昶㘴㑡㘱㜲慡㝥㍢晢扣〳攰捥㈳愷㡥戵㈲㜳慦㈸㘶㕤愰㤷㍦㐳挶㉢戲㘸〶㐲攸愳摢ㄱ㤲ち换㐸㌹攰㐰㘰㥣㑦敤攴㔷㌶㔵ㅢ㔲摦㡥㔶昶㌰㈲㐹晤收㡣戱㈸敢㠸㐷摢㐶戰㈳㝣愰ㄹ㙢ㅢ㜵㍦慡㥢㜲㙤摢㈰㘹㤱㉣攷慢〶㈹㜸愲ㄱ戸挷㉤㐷㌷〱ㄴ晤㐵㐵挶〵ㄴㄹㄷ㔴㔱扦㜹㤲愱㐱㤵攷㔸敥㔹挳戳㠲㈵摢慡㤶昸挰昰摤㤶愰㐹㌰㌹㈵㙦㥣㘲㤹㌱搲㘶捤㥦㠲挹收㡦〱摤㘳㤰愳摣㍡愲ㅦ㤴慢㠹㈲晥㠸㉥ㅤ㑢㄰㌰捡㔳慡扦ぢ愳ㄵ搴敤〸㠸ㅣ㤵㉥挶㜷㌰㉥㍥㡣㤲㔰〸ㄱ敢ㄹ㈴〲慦㘰㐲挸搳挵㕤㌴㑦㌹㔶〰散ㄱ㘳㠷慤㘰摡〷捡〱㤰㔵挷摢㉢ㄵ㔶ㄳ㥤㐶㥢㕡攱㥡戵㔵㈹㌵戱㘷㙤㝤㔲㙦扣㜹㥤敡㔰愳㈴ㄴ挹㐶㡤㤴㘶㔹㘷㡥㕢㐹搵〸愵戸㘳㙤㈳戲摣愶慤㝤愷ㄴ㜹〵㡡㐹搱㑣㑥㝦户㈲ㄴ〴㝡㈳ㅤ㐵㥦㝤㌶㜹㈴㈲㌶戴〱捡搴㔳㘱搹㐰ㄴㄲ㍣㠶㙢㈷㌵㔹㡥㥥挰摦㍢愲散㙣㈳㐸搵ㄸㄷ㠶愳㥡㠹㝡㝤搶㠱㤵㔰㌵扣摡ㄶ㘱㘹慣㉤搴㌰㡡㍢扢搵晥攱昶㈶ㄸ㌱㘲㐳㠶㐵㌲晣挰㘰㐳㌰㔷㈲愲㑡敢㙣㠰㕢摤㉣㉥昱改戸㌴ㅣ㠵㠱昹愰㌶㉤㔷㤴ㄹ搶戲攴㠷㔵㠷收㘹㔱挹㔱摤㥣㔸昴愱搲〳捡昱㈸愷ㄸ㕣㌷㑦搲㉤㠵㑢っ㄰扢㔱㙥慥ㅡ㈰戴摢ㅣ㠰㈷㠳慤㠳ㅤ散㐸ㄸ㍡愱㜵㐶〹㕡捣㈰摣昴㈲挸㍢㕤㘲ㄴ㠲搴㔴改敦㠷挴ㄷ㥦㘴晡晡愱㕣㥣㠹㤸㠸攱慥っ敢〱挸㑤㐶㈶挹㐵挳㜱挰㍣㤴㙣㑡㘸昵挷㘵㌴㌱〶㘸昲㜹〱㙥昱㌰㤶㌵㐸戶愹攳㥥㕢㘰㐱㥢搶㔷㜷㤸挷㥣㙡扤㔱㤳㑡ㄵ挷戲㕡㘹攴㉤㠱㉦㜵〵㌰攴愶㡣㝤㠹㌶攵ㄸ㡥㔲㕣㌲㤱搴扤摤慤ㅦ㐲㜷㈵攴㌰㐶愸晡ㄸ㠰捣㜰换愹㠰搸㥡㝢ち戴て㜷戶㉥㌰愸换㜳㄰㘹㙢㡡㈸换㘶㜰ㅦ慦ㄹ㐵㔶摣㤶㘸㌶攳捥戸戴搹ㄳ㐵㐷慤戰㘸㑢攰〸敢っ〵㕥戱〸㘳愴㑢敥攰㈰戹㡢㔱㜴昷攲挳敡㌱㜷ㄱ愸㔰ㄸ㄰㡣昱昲ㄴ㤴挳慥㠲㤱㘸㜰㙢㉤慢㕢㌰晡㑢换㕢㥦〰㄰っ〳搳愰㐵换搰挰㤹㐲㝥㘳〳攷ㅡ戴捡㠸㤰㈶㠳愹㡣㔱づ挳㘱て愴㠱㥢㜸㤰㕥㜰愱㠴㠲㕤敡㘲㔸㝣㌷㜱搴挶ㄱ挸昵㉥㙢㉢㥣㌳〲㕣㝦㜱㜶户ㄵ㑦搴㙡㌴㜷攱㥦摢ㄲ㔸挵搵㡤搰ㅣ摤搵㜶㈹㑢慤㠹昶摤戵㙤ㄵ搱㘵挱晤搳㘳㐷㡤愰扡㌴ㅦ慣㠶ㄷ户扡㈵㠹挲㡦攱㡦㔸昷敤戴㤹昳づ㉦愲慥㜰敦换攷ㅣ昷扣愳收㔵昰㜹敢てㄴ㠲㉢㤴扤㥣㘴㌹昷㙦晣㔱㐹换ㄵ㝥㠴ㄱ㌷㌳㙤づ搰㜲㤰㜰ㅣ㜵敦㌲㤴〶㈳㜸捣愰ㄳ搸敥捤㕢〳愴㤳㕤㙤㜴愲〴挱㌶愱㌸㘷㕦㌵㐲ㄱ㍦〴㕡㐹㉣攱㤱ㅣ㝢晥㉣㔸㕦晣〰㈵㐴㌸慦㜶㐴㠲晣㡤搹愸㔳㠲㍣扡攲挱㕥晦㍦㔸㡡戹㜹㕤㜶晡㉦㌰戳㜸慥ㅤ㐵㝢㠸愲敦㐷㈸攲㠵挲㄰㐵㠲搷㐰ㄴ晦摥㠹㑣㥣ちっ捦扥慣㐰㌸搷戴㝤〰㝤捤㉦晣晥てて愰㌳ㄱ㜱㈸扡㐱愸敤㍡㍣㌷㑤㠴㥥㌵㈶〲㠳昷捡㐴㌸㡥㡣㘰ㄴ㍦㌴ㄱ㈲ㅦ挸㉣ち㌶㌶ㄱㄸ摢换㌰〴ㄳ愱搶㠴㕢㠳㈷戰换㙣晡挷㡥攲攲慤昴ㄱ捦㠷搲昲愷攰㤱扡㝣㙤昱㥣攱ㄹ昶㙥㔵㝥挴㤳㔰㘶摥〲㙥㜲慢㉥散㜱攵扡㌵慡搳㍡扥㡡搸换扥敤㑦搹摣晤㜵㘰㉡㑣愱晢㕥㤴㐴昱ㄵ㜸㑡〴捦つ戹て敥晡收㤱摦㍦昸攸㈱摥㔶㡢㘸戵㜰㈳昲摤㠴散㘹㑦㈰愸㥢戸㈸㜲㈹㍦捣㌹㡥㑦㤴慣攵扡㥣㌴㍣㘵〵昹扡ㅤ㘷㐳挲㑢㄰㘶㐸㝣㕢挱挴挴扤㠷搰挴ㅣ㙢㜳㜷慡て㥢㤴㡢㜰㉣㌱㜱攵搳㡢挳㠶愲愳㈲敢搲摡㉣㝣ㅢ慡攸㘵㑥㈴㙤㈵昲搴挹㈴挴户摡㜵摤〱敡扡昰㈰挳戰㝦㉣愵㄰㝦㈰㠵㈴て㌲扣㄰愰愴搴㐹㘴ち㌷〱㘴㐴搶摡㐳扣昴〷㙣ぢ〱搹扣昴搷攵㐷㉣搸㐵㘰㌱昶挵㜷㝢愲愵㉤ㅡ慢㈶㠶㙡㤵㑤㌳㡦㡣㍡扣戰㘰㍣㉥㑤㔹㍡晢㔱扡㘹㜷ㄴ㕦㌲㘰㠷㠱户㤰戱ぢ㌶㝤㙤㘵晢づ愷㠱㥢ㅦ搰㌳㐵愵㌰㥣㥤㉣挶㠱㔴挵攸挲愶攵戰㠸㜰㌰捣㌶㍢昵㐵㔵搰㔹捥㙥㥣㑡ㄱ晣攳㤷㐲慣ㅦ㙤つ㝤㘹㝢つ㜵㥣搳㡢〵昲〷晢㙢㑦〶㘳攳慤攴ㄸ㐸搸㑤戵㉡㠵搷挳㑦愱ぢㄷ㥤ㄳ㝡㉢慢㥥挵〱晣ㄳ㜳㔶㡦戶㐶晦㌳㝡慤㌸敢㌴㝢㌳㡣㥤搲晦昷愰㘰㐳晤㉦ㄸ㝢㔳㠸扣㌷捡昰愱挰昸挹㠶㈱ㅢ敥〸㍣摢〸摥愸㠳戱慥戲っ㜹㠷戹㜹㝣扣ㅡ㔶㉢〹づ扦㔷扥晤㙡㐴戳㉦㙤摢扥㡥〲㤰戱愱挲戳㄰㐱ㅤ晢愷攵ㄶ㐷㘳㉡摥〷戰敢戸㔵昵㕣摦㌵㠳㤱㜹〴㝤㐷昸敤㤹〹㥢㘷㐲㝣慤㕤愸㕤㡢㥤攸㝦㍦晡㥣㤸㠵挰㍥㈱㠳㔷㉢ㄶ挹挸挲收㈲ㄹ㍣㌶っ㈵挲㑢搴づ晥㈵收㕤つ愳㡥㑦㔷㘷攱敢っ㔸戴㈵㤴㕤攸㜱㙥扦愱挱慤挳ㅤ慤昷挲ㅦ㈴敢㘳〸㡥愹㈵摣昷㝥敥㙢晢ㅥ愴摢㐶㙢昳搹戲㍢㥦㕢戹昰っ㜰扡戹户愴㐹㠶敦攴ㄷ挹㘵扤㐲㠸㑢晢㜰搴㘵㌹慥摢ㅣ戴ㅣ㙤ㄸ㜴ㅥ㝤搰㑤㐷搸㘸ㅤ敥戳㑤㐴扦捦愰慢㤸㈰挰㑦㌷愲っㅦ〴扤㝣㘴㐵昱ㄵ㉣㡢っ㠰㝣慥㔸〵攸㑣搵㑦慤㐷搵㐳戱㐰ㄶ㍣㘳㤰ㅣ换攲㑢㘸挸敤ち㤷つ㤶攰戲㠵㍡㑢㈰慦挷㍤㤰捦〹㥥㈵搴㐴扥㠰づ捤㠹㔸㈸敤㍣㤱捦慦㌷ㄱ㐱㉢㐰㉤㌴㌹晥㔰慣㐵昴㍡慡㜵㥢挰㈱㜰〱〶㈹ㄶ㈹㙢㡡㘱㘸攱〷挴っ搲慦愲㝦㕦㍣昴换攷㤹晥㜶㐸㈸㐱㠸慡昴攴㈹〸搵攴㍦㥤㥣扣㠷搲捥㤳㝦㝣扤挹て㔱㐶㜲㈶㝡〰㌰搰㈳㉡昸㐷㉤愶㠱っ昷㤱㍦㜱㠶〰扦搴㉣㠶っ㤴愸扥攷㤱㐱㕦㙥戸㙡㜵〱㤹戸㙦㠱敢捦昸戸㐷搹㐷扣〸㐹㕦㑥㌱㜴挶ㄶ㐳慤㔸戲㈳㉦散㤶㤰つ㔸ㄲ扦㤶敤㈸搲㡢㕤㐶昸挵挷㘲挴ㅣ㍤ㅡ㝦㌹愵㐵㌱㈷㄰㐶㘸㤱㤲㝥戸㤱攲愳㜱攳敦㝣慦攵㌲㐵〵ㄲ愸㈷㙣㑣㍡㔳㡤㍦ㄲ㌷摥㡦慦戲㔴㥢ㅣ㙦㄰㌰扤ㄸ㌷㈶㍤慡挶㡦挶㡤晦扡㝦㜷戳㜱㑣㠷攱挸〵ㄲ㐹㠶慤慢慣晦挴ㄷ摡㠳㘸㕥㌰愹㍦晢捣戰㤸㤲㔳㠵㡥敢㑡㠳昶攳㌲㠸㠷㙦愴㘷㜰户〹㔷㐰㈰㘴挳晦㉡攱ㄸ敥㍣㑤ㅢ㠱㠱㑦愰㔷㄰㙣昶㜴昵挴捥㐵㜳搶㐳㐱慦㜹捣挷㤹慡戶愵㐸〴收㐰㍥摣摦つ㥣昲ㄹ愶㘳㙢㍦攲㈰㤹挶㍢㈴摤㈹てㄵ㔸挹㡢て挵㤸捤㍤搲愲ㄹ晤㘱㈰〷搲ㄱ㤰ㄹ晤ㄱ挰㌰㄰挳摢捡戹㈱昲扦㘲敥て戱攲挳〴㡦〲㤴〵㤹㥤㜴㔰晣〸挰㘰晣ㅦ㔵㡣慣㈸㝦㠹㈶ㅥ㡣㕦㤶㈴㈳晤㘳散昰㜱㠰ㅥ戸㙦㐵㐴㠴㘵晤ㄳ㈸㐹扥㤴㠲㐳扤昴㌱㔶㝣㤲攰㜱㠰㜲㠱㤳摤昴慥㜱㑤㕤㙡慥㑦愱慢㜸㠴〰㍦晤搳㔱㠶て〵敥挳㍢㍢摢捡㍣ち挷ㅦ昶㐳㤳愶扥攰扦〳㕦攴慦㜲搱㍤昸て㐹ち捡戰捦㙢敦攸㙥㉣㌲〱㙤㜲昵㕢挶㘶扦㠲㜱戸慥㔶〴㠵㈳㔲愹㤴戴愲㈰扥戹㘰攱攲つ㝣换㐱㔵㈱〴㘹㐰㔵㌸㔱挵㈱ㄴ攸㥦㘱㔳攲㤸㜸搲㍦换㈷愲㔶㙤攲攷愲っㅦ〴昱慡扡摦ㅦ㜵㡦㕦㐸㕣慢ち慢敤㠵挴扦慡㔸㑡扥昰㐹づ愶㤰㠵㑣㕡㉢ㄱ㘹㡡㠶扥㠴捣㐰捦㈰攷㜶㌷㝥摡〵㔱㍤㔳㍢㜳收㥦㠳昹㤱㉢昳昷扣愷晦挹ㄷ㝦昱㠷㈷㕥㜸摦挱㤷晥昵搴㔳㉦晣昱㠹攷晦昵攳挵㠳㍦㝢收㤹㥦摥昹搵攷晦戰搳㝣㕡晢摥㍦㘷㥥㝥㘸晣摣㐳て㤸愷㙥㍣昲搰扤昷摦㌵㍥㜷挹㘸㑦㑦㙦敦昵挳㍦扦攲㠶愱㐷ㅥ㜸㑥晣攴㌷㤷㍢㐲㉤ㄷ㉦㐸㑦㠳换㔶搳昸㌲㌲㤸〶㘷晣㥡㑥㠳换㔵ㅢ戵ㄸ㙤搴㈴ち㑡昰㘹㜰〲慡挲㐸㔷昴晤〷摢㕡戵㈷</t>
  </si>
  <si>
    <t>1f3bf1af-0969-4088-8437-e85d0bc88926</t>
  </si>
  <si>
    <t>㜸〱敤㕣㕢㙣ㅣ㔷ㄹ摥㌳摥㕤敦慣敤搸㡤搳㑢摡搲ㅡ㑡㈹搴挱㡤搳㠶搲㐲〸扥㌴㤷搶㠹摤慣㤳㠲〰㙤挶扢㘷攲㘹㜶㘶摣㤹㔹㈷㉥㤵㕡㐱戹㠹㑢愵㜲ㄱ㠵㜲㔱㠵㉡㈱㈴㉥㉦愵〵㕥㤰㤰㐰愸㈰ㅥ攰〱㠹㠷㔲㈱㜸〰愱㐸〸愹て㐸昰㝤㘷㘶㜶㘷搶摥戱扢㙤挱㐵㍥挹晥㌹㜳㙥㜳捥昹慦攷晦捦㈴㈷㜲戹摣扦㤱昸㉦㔳㥥㤹㙢㉢㙢㝥㈰敤㠹ㄹ户搱㤰戵挰㜲ㅤ㝦㘲捡昳㡣戵㌹换て晡搰愰㔸戵㔰敦ㄷ慡扥昵愰㉣㔵㔷愵攷愳㔱㈱㤷㉢㤵㜴つ昵ㅣ㠴扦㤱昸㐱㘷慦挱㍣挰攲捣昴晣搲晤ㄸ戵ㄲ戸㥥摣㌷㜶㈶散㝢㘸㜲㜲㘲㜲攲戶摢㈷摦㌱戱㝦摦搸㑣戳ㄱ㌴㍤㜹挸㤱捤挰㌳ㅡ晢挶ㄶ㥡㑢つ慢㜶㡦㕣㕢㜴捦㑢攷㤰㕣摡㝦敢㤲㜱摢㍢㈷㙦㍢㜸搰扣攳㡥㜷づ攲搵戹㤳㌳搳ぢ㥥㌴晤㔷㘹捣〲愷㝣摢慣慣㔹㕣㥢㤴㥥攵㥣㥢㤸㤹挶摦挴晣昱㜴晢㐴㘵㔹捡㠰慦㤶㥥㜴㙡搲搷搱㜱挰㥥昲晤愶扤挲捤搳敤㈳㔸㙡捤昰㠳㠲㍤㈳ㅢつ摤㡥㐷㉤搹昳搸扢㠶戱㌶㘸㔷愴攳㕢㠱戵㙡〵㙢㐵㝢ㄱ〳搵㠷散搳扥㍣㘵㌸攷攴㐹挳㤶〵晢㘸搳慡攷挳㤴敢扢㈹ㅥ㈲㌹㌱戵晣㠹㈹摦㥥㔹㌶㍣㌵㈳㥦ㅢ㤳搱昶㠸㔷㑢户扤愱晢戸㥣扡㝡〳挷扣戱㝢㍢搴㥣㌱扣㔶换昱敥㉤愳挵愷㘷㜰㑢昷昶㠹㍤㑡昷㜹㕢昷㍥㙡㉢搳慤挵㐰㐴摦㙡㐷戱ㄸ扤㐸搰㑦㔰㈲㈰〲昵㌲挱〰挱㈰㠰挸晦〳㕣㤲散挸㉡慤㙡㘸搵㈵慤㕡搳慡㜵慤㉡戵慡愹㔵捦㘹搵㘵慤㙡㘹搵晢戵敡㜹戴㠹㔳愹扦㕦㡢搲㠹ㄷ㉢〷晦昸㠳㤷㘶㥦昹攷㥦㡥晥晡捥㙢扥㌳戸ぢ㡤敥㡤㈶㌵敢ㄹㄷ㐰㙡㙤㉡㍥㌰戱㥦㝦㌶攷ち㌰㠵㜹搰扣摤㥣㥣慣ㅦ摣㙦摣㙡ㄴ戸慣っ攴愷〸㘵〴㙤〷捤晢㉣愷敥㕥㔰戸扢㜶摡昰㘵㝢攳挶愳扡㘹户改搴晤㙢㌶慥慣〴㐶㈰慦敥慣㙢て戲慥㕢〵㙣㈵㝤昵扥敢㍡扢㥤㌱ㅡ㑤㌹㜵搱ち慢摦搰㔱㙤㉦㜸敥㔲昷摡㈳㥥㝣愰㔵扢㙥㐶㔳㄰㙡慢㙡散㜵慢っ慢挲㜹㡤捤㉣扢扥㜴搴昴挶敤〵慢㜶㕥㝡ㄵ㐹㤱㈸敢㙡愹㤷戳㉡攲晡昱㜹〷ぢ〵户搶摦㤴㉣㌵敦扡ㄸ㠰㤹㘵ㅤ昳㕤㤱㕥戰戶㘸㉣㌵攴ㄵ愹㈶攱㍢㔱戱㌷㔵㝣挴慤㌵晤ㄹ搷〹㍣户㤱慥㤹慡慦ㅡ㤰㌴昵ㄳ㙥㕤收昳㌹㈵ㄴ㈰㜰晢晡㠴挸摤摣㥤ㄷㄴ㈲ㄲ㈸㈶㈳㕦㤵㈶扢㠹㔳㔸ㅤ㔶搱㤰愴㐹敤捤㥢っ挶昹㉡ㄹ㤳挱㠱㠹㌵㔱㝦昰愵㙦摤㘴搸ㄶ收㕥摢挶㥡㌶ㅡ慤晥慥㔵改〴挷っ愷摥㤰㕥愶昶ㄳ㥣㤱㍥っ㔰戸〴㠱搰㜵昷愸敡挴㐵戱㔶戸㘰搵㠳攵攲戲戴捥㉤〷㈸㠳㠶㉣㤵戸戵敢㤲㝥ㄹ㡡昴摤〴愳〰攵㜲慥戸㠷㡤㡡㘵愴㕣㠱搲㈹㠳㤷㔳㠲㥣晤㔲扣㍣㘸ㅥ戱ㅡ㠱っ㠵昲戰〹㡣㠴㕡㑤愱㙦㠸㈴敡ㄹ戵㔰㘱散㌱㘷㐰愵㠶攵〴㙢㙤扥㕤挷㈵㈱ㄱ敤挸㠲㙤㈷ぢ㈸ち搲昲㈰㠳搷㐰㌴ㅤ搲㈰扢㜱㠲㠸挸〶ㄹ㥡ㅤ㈳愷㠹㡣敤㌳㘴〴摡㈷㠹㤰慤昷㜷㤷ㄱ㈴昶昵㐴捡㑥㕤昹㜱㐷㥡㙤㘴换㠷搲散㜲㙣㥣㝥〵挱㤵〴㔷ㄱ散〵㄰㝦㠶㠴愳㤴㐳㍥㥤昴㙢昰慣㕦㑢昰〶〰挸㈷㥤㌲㈷ㄲ㔵戴愱戶㘲㐷戲摤㄰散㘴㘵ㄴ㠷愲㠸㤶㜱换捥ㅣ戲ㄵ愲㈳慢㜳㝢攸摡扣搲戱㙦改㑥㥢挹攵㤰㈲㌳㥡㈶搷扡㐹搳攴㐶戰㘹㡦㝡敢㝡㜴搵挷〸摥〸㔰搶摦㐴〸攵㐲㠳㜷㙢ㄶ㍤㑤捡搷㠵㔹ㄴㅡ㐳㍤㉡昸㠸㤰㜹〴挸㄰㜲敢㡥㉦㍢㌶㌴捤挱㜱昳㜵㙦㐳敦敢捥摦ㄱ搲㍢昴收㡥摥愱扦攸㘵㕡搱㌷㠰扤挴ㅦ扡敡㤸ㅢ㔱慤扦㠵攰㈶㠰づㅤ挳搳昷换昵ㄴ㈸戳搸㑥㘰㙥㌷扤㉥捡捡㕤㕣㕢㤱㑡〳つ㥡㡢㠶㜷㑥〶昰㘰ㅣ㥦㠵㉤散㝡㥥㙣攰㔰㕢㔷〵㍣扦㕣㤹㉥昴㡦㜸慥捤昲ㅤㅢ搹㝦㕤㈸㠶㝣㕥敢换㜵搸挸ㄹ戶㘶挲攷㤴愰ㅣ敡攰㕢扢ぢ㠹㐴愷㌴㜹戱㕦昶昹㜲㐷㤲昴㈰㐹摥㠶㙤搵㙦〶㠰㤴㄰扦敢㉡㔱昶戱搹摢㔵戳戴挵㑡て㕦挶改愴挳㠷戸㑥㡥っ㠴づ摢㘹昸て晣㈱扢㘲搹㉤㘱㌱㘰㉦㐸慦〶摦㠲搵㤰攵搰㉤㑢㔱戳㈳㉢㕥㈷戲愲慦㙦摤㜹㍡挳扦愶攸愴㐳㑡㘴㜲㝢㘶㘵挶㔹扣㑤㔴㜴㐳㔲愸㘴戸㠶㕡ㄲ㠸㤴挷戶㍢㈲愶〷ㄱ㜳ぢ㌶㑥摦㑦㌰㐹㜰〰愰昰㉢㐸㥡慤㙥㍣挳㘱晤慢㜴㘹㔷慢戹ㄲ搱愰㕣㠴捦㜷ㄵ㔶〷昹㥡㜷㄰摣づ搰㘱晥搰〱㤹㐱㠸ち攵〹㐲㔴㘱っ昳㡣㈵㉦㤰〶㜶㤹〸㉣捤㌴晤挰戵ㄹ㔹ㅡ㌲㘷摤㤳㙥㌰㙢昹㉢㠸㐴㡤㥡㔱收扥㘵改㠰扡㍣搸㍥ㅤ㘵敥捡㡡慣敢㘶挵㙤㐲戴ㅤ㥦摤づ〷㜳㙣〷㙣㐹㜵㌶搷〴㔲㙦攷㘳っ㈱戰搳捡摦㑡㙦散㤶扣摦㍣昴つ户㜷㜴搱ちㅡ㜲挰っ㤹㡥昹㤲㠹㕤㐴攴愰摥㙦㉥㉥㝢㔲捥づ㤹㐷㍤慢摥戰ㅣ㐹㘴挰挶㘴戰㙥㑥㥥㐳㤴㘰挱㘵っ搰㜵㠶捣㐵捦㜰晣ㄵ㠳〱挵戵摤愹㈷ㄵㄶ㈹㤸搳㤶攳攳㌵ち㡢捣て㥢㤵㘵昷〲㈲戶㑤摢㌹㙡慣昸摢〲㉢㈴晡㌰㈹搴〸㑤㘸㥡㈸㘹愵㕥昱挳〳㜹㉥㐷摥换ㄳ㈸㕣攵ち昴㤹㘷㘸㙦摡昵㔱㡣㠶㜶㍡攷㌴㠸攸㔱慢戰㉦㔳ち㤳㔳昵㍢搸攷㑥㠰扢㡦㥥㍥摥㡥捣扤愲㤸㜵㠱㕥晥っㄹ慦挸愲ㄵ〸愱㡦㙥㔷㐸㉡㉣㈳攵㠰〳㠱㜱㍥㜵㤲㕦搹㔴㙤㐸㝤扢摡搹㈳㠸㈴つ㥡㜳挶㤲㙣㈰ㅥ㙤ㅢ挱慥昰㠱㘶慣㙤㌴晣愸㙥挶戵㙤㠳愴㐵戲慣搴っ㔲昰㔴㌳㜰㑦㔸㡥㙥〲㈸晡㡢㡡㡣㡢㈸㌲㉥慡愲㐱昳ㄴ㐳㠳㉡捦戱摣㜳㠶㘷〵换戶㔵㉢昱㠱攱扢㙤㐱㤳㘰㜲㑡摥㌸挵㌲㘳慣挳㥡㍦つ㤳捤㥦〰扡㈷㈰㐷戹㜵㐴㍦㈸㔷ㄳ㐵晣ㄱ㍤㍡㤶㈰㘰㤴愷㔴㝦㌷㐶㉢愸摢ㄱ㄰㌹㉡㕤㡡敦㘰㕣㝡ㄸ㈵愱㄰㈲搶㌳㐸〴㕥挱㠴㤰愷㡢扢㘸㥥㜶慣〰搸㈳挶㡥㔸挱慣て㤴〳㈰慢㡥户㔷㉢慣㈶㍡㡤户戴挲昵敢慢㔲㙡攲扡昵昵㐹扤昱收つ慡㐳㡤㤲㔰㈴㥢㌵㔲㥡㘵㠳㌹㙥㈷㔵㈳㤴攲㡥戵㡤挸㜲㥢戶昷㥤㔲攴ㄵ㈸㈶㐵㌳㌹晤㍤㡡㔰㄰攸㡤㜴ㄴ㝤昶搹攴㤱㠸搸搰〶㈸㔳㑦㠵㘵㐳㔱㐸昰㌸慥㥤搴㘵㌹㝡〲㝦敦㡡戲昳捤㈰㔵㘳㕣ㅣ㡤㙡愶ㅡ㡤㜹〷㔶㐲捤昰敡摢㠴愵戱戶㔰挳㈸敥散㔵晢㠷摢㥢㘰挴㠸つㄹㄶ挹昰〳㠳つ挱㕣㠹㠸㉡慤戳㈱㙥㜵慢戸挴愷ㄳ搲㜰ㄴ〶㉡㐱㝤㔶慥㉡㌳慣㙤挹㡦慡づ慤搳愲㤲愳扡㌹戵攴㐳愵〷㤴攳㔱㑥㌱戸㙥㥥愲㕢ち㤷ㄸ㈰㜶愳摣㐲㉤㐰㘸户㌵〰㑦〶摢〷㍢搸㤱㌰㜴㐲敢㡣ㄲ戴㤸㐱戸改㐵㤰㜷㝡挴㈸〴愹愹搲摦て㡢慦㍣挱昴敤挳戹㌸ㄳ㌱ㄱ挳㕤ㄹ搶〳㤰㥢㡣㑣㤲㡢㐶攳㠰㜹㈸搹㤴搰ㅡ㡣换㘸㘲っ搱攴昳〲摣攲㘱㉣㙢㤸㙣搳挰㍤户挰㠲㌶㙤慣敤㌲㡦㍢戵㐶戳㉥㤵㉡㡥㘵戵搲挸摢〲㕦敡ち㘰挸㑤ㄹ晢ㄲ㙤捡㜱ㅣ愵戸㘴㈲愹㜷扢㕢㍦㡣敥㑡挸㘱㡣㔰昵㌱〰㤹攱㤶㔳〱戱㜵昷ㄴ㘸ㅦ敥㙥㕦㘰㔰㤷攷㈰搲搶ㄵ㔱㤶捤攱㍥㕥㉢㡡慣戸㉤搱㙣捥㥤㜳㘹戳㈷㡡㡥㔹㘱搱戶挰ㄱ搶ㄹち扣㘲ㄱ挶㐸㡦摣挱㐱㜲㤷愲攸敥愵㠷搵㘳敥ㄲ㔰愱㌰㈰ㄸ攳攵㈹㈸㠷㕤〵㈳搱攰搶摡㔶户㘰昴㤷㤶户㍥〵㈰ㄸ〶愶㐱㡢㤶愱㠱㌳㠳晣收〶捥昵㘸㤵ㄱ㈱㑤〶㔳ㄹ愳ㅣ㠵挳ㅥ㐸〳㌷昱㈰扤攸㐲〹〵㝢搴挵戰昸㙥攲戸㡤㈳㤰敢㕤搱㔱戸㘰〴戸晥攲散敤㈸㥥慡搷㘹敥挲㍦户㉤戰㡡慢ㅢ愱㌹扡愷攳㔲㤶㕡ㄳ敤扢ㅢ㍡㉡愲换㠲〷㘶㈷㡥ㄹ㐱㙤戹ㄲ慣㠵ㄷ户㝡㈵㠹挲㑦攰㡦搸昰敤戴㤹昳づ㉦愲慥㜲敦换攷ㅤ昷㠲愳收㔵昰㜹敢てㄴ㠲㉢㤴晤㥣㘴㌹昷㙦晣㔱㐹换ㄵ㝥㡣ㄱ户㌲㙤づ搰㜶㤰㜰ㅣ㜵敦㌲㤴〶㘳㜸捣愰ㄳ搸敥慤㕢〳愴㤳㍤ㅤ㜴愲〴挱づ愱㌸攷㕥㌵㐲ㄱ㍦〲㕡㐹㉣攱㤱ㅣ㝢晥㌴㔸㕦㍣㠷ㄲ㈲㥣㔷㍢㈲㐱晥挶㙣搴㈹㐱ㅥ㕤昱㘰慦晦ㅦ㉣挵摣扣㈱㍢晤ㄷ㤸㔹㍣摢㠹愲敢㠸愲ㅦ㐶㈸攲㠵挲㄰㐵㠲搷㐰ㄴ晦摥㡤㑣㥣ちっ捦扥慣㐰㌸搷戴㜳〰㝤捤㉦晣晥てて愰㜳ㄱ㜱㈸扡㐱愸敤㐶㍣户㑣㠴扥㜵㈶〲㠳昷捡㐴㌸㠱㡣㘰ㄴ㍦㌴ㄱ㈲ㅦ挸㍣ち㌶㌷ㄱㄸ摢换㌰〴ㄳ愱搶㠴㕢㠳㈷戰㉢㙣晡挷㡥攱攲慤昴ㄱ捦㠷搲昲㘷攰㤱扡㜲㝤昱㠲攱ㄹ昶㕥㔵㝥搴㤳㔰㘶摥㈲㙥㜲慢㉥散㜱昵㠶㌵慡搳〶扥㡡搸换扥攳㑦搹摡晤㜵㘰㉡㑣愱晢㕥㤴㐴昱ㄵ㜸㑡〴捦つ戹て敦昹敥搱㍦㍥昸攸㘱摥㔶㡢㘸戵㜰㌳昲扤㠴散㘹㑦㈰愸㥢戸㈸㜲㌹㍦捣㌹㠱㑦㤴慣㤵㠶㥣㌶㍣㘵〵昹扡ㅤ㘷㐳挲㑢㄰㘶㐸㝣摢挱挴挴扤㠷搰挴㥣攸㜰㜷慡て㥢㤴㡢㜰㈲㌱㜱攵搳㡢挳㠶愲慢㈲敢搱摡㉣㝣ㅦ慡攸㘵㑥㈴㙤㈵昲搴挹㈴挴昷㍡㜵摤㐱敡扡昰㈰挳戰㝦㉣愵㄰㝦㈰㠵㈴て㌲扣㄰愰愴搴㈹㘴ち户〰㘴㐴搶㍡㐳扣昴〷散〸〱搹扡昴搷攳㐷㉣搸㐵㘰㌱昶挵昷㝡愲愵㉤ㅡ慢㈶㠶㙡㤵㑤㔳㐱㐶ㅤ㕥㔸㌰ㄹ㤷愶㉣㥤〳㈸摤戲㍢㡡㉦ㄹ戲挳挰㕢挸搸〵㥢扥戶戲㝤㤷搳挴捤て攸㤹愲㔲ㄸ捥㙥ㄶ攳㐰慡㘲㜴㘱搳㜲㔸㐴㌸ㅣ㘶㕢㥤〶愲㉡攸㉣㘷㉦㑥愵〸晥昱㑢㈱搶㡦户㠷扥扣戳㠶㍡捥改挷〲昹㠳晤㜵㕤〶㘳攳慤攴ㄸ㐸搸㉤戵㉡㠵搷挳㑦愳ぢㄷ㥤ㄳ㝡㍢慢㥥挵㐱晣ㄳ㜳㔶㥦戶㑥晦㌳㝡慤㌸敢っ㝢㌳㡣㥤搲晦敦㐳挱愶晡㕦㌰昶愶㄰昹晥㈸挳㠷〲攳㈷㥢㠶㙣戸㈳昰㙣㈳㜸愳づ挶扡捡㌲攴ㅤ收㉡昸㜸㌵慣㔶ㄲㅣ㝥慦㝣攷搵㠸㔶㕦摡戶〳㕤〵㈰㘳㐳㠵愷㈱㠲扡昶㑦换㉤㡥挶㔴晣〰挰㥥ㄳ㔶捤㜳㝤搷っ挶㉡〸晡㡥昱摢㌳ㄳ㌶捦㤴昸㔶愷㔰扢〱㍢㌱昸㈱昴㌹㌹て㠱㝤㔲〶慦㔶㉣㤲㤱㠵慤㐵㌲㜸㙣ㄸ㐹㠴㤷愸ㅤ晣换捣㝢㥢㐶〳㥦慥捥挳搷ㄹ戰㘸㕢㈸扢搰攳摣㜹㐳㠳㕢㠷㍢㕡昷挰ㅦ㈴ㅢㄳ〸㡥愹㈵㝣攰㐳摣搷捥㍤㐸户㡤搶收戳㘵㙦㍥户㜲攱㈹攰㜴㙢㙦㐹㤳っ摦挹㉦㤲换㝡㤵㄰㤷昶攱愸换㜲㕣㜷㌸㘸㌹摡㈸攸㍣晡愰㥢㡥戰昱〶摣㘷㕢㠸㝥㥦㐵㔷㌱㐵㠰㥦㙥㐴ㄹ㍥〸㝡昹挸㡡攲敢㔸ㄶㄹ〰昹㕣戱〶搰㥤慡㥦摣㠸慡㐷㘲㠱㉣㜸挶㈰㌹㤶挵㔷搱㤰摢ㄵ㉥ㅢ㉣挱㘵ぢ㜵㤶㐰㕥㡦㝢㈰㥦ㄳ㍣㑢愸㠹㝣ㄹㅤ㕡ㄳ戱㔰摡㝤㈲㕦摡㘸㈲㠲㔶㠰㕡㘸㜲晣㤱㔸㡢攸つ㔴敢㌶㠱㐳攰〲っ㔳㉣㔲搶ㄴ挳搰挲㜳挴っ搲㙦愲㝦㕦㌸晣慢攷㤹晥㜶㔸㈸㐱㠸慡昴攴㈹〸搵攴ㅦ㑢㑥摥㐳㘹昷挹㝦㜶愳挹㡦㔰㐶㜲㈶㝡〰㌰搴㈷慡昸㐷㉤愶㠹っ昷㤱㍦㜱㤶〰扦搴㉣㐶っ㤴愸扥ㄷ㤰㐱㕦㙥戸㙡㜵ㄱ㤹戸㙦㠱敢捦昸戸㐷搹㐷扣〸㐹㕦㑥㌱㜴挶ㄶ㐳慤㔸戲㈳㉦散戶㤰つ㔸ㄲ扦㤶敤㉡搲㡢㍤㐶昸挵㈷㘲挴ㅣ㍢ㄶ㝦㌹愵㐵㌱㈷㄰㐶㘸㤱㤲㝥戸㤱攲攳㜱攳ㅦ㍣搳㜶㤹愲〲〹搴ㄳ㌶㈶㥤愹挶ㅦ㡢ㅢㅦ挰㔷㔹慡㑤㡥㌷〸㤸㕥㠸ㅢ㤳ㅥ㔵攳㐷攳挶㝦㍤戰户搵㌸愶挳㜰攴〲㠹㈴挳搶㔵搶㝦攲ぢ敤㘱㌴㉦㤸搴㥦〳㘶㔸㑣挹愹㐲挷つ愵㐱〷㜱ㄹ挴挳㌷搲㜳戸摢㠴㉢㈰㄰戲攱㝦㤵㜰ㅣ㜷㥥㘶㡤挰挰㈷搰慢〸㌶㝢扡㝡㘲攷愲㌹敦愱愰摦㍣敥攳㑣㔵摦㔶㈴〲㜳㈰ㅦ敥敦㈶㑥昹っ搳戱扤ㅦ㜱㤰㑣攳ㅤ㤲摥㤴㠷ち慣攴挵㐷㘲捣收ㅥ㘹搳㡣晥㌰㤰〳改〸挸㡣晥〸㘰ㄸ㠸攱㙤攵摣〸昹㕦㌱昷㐷㔸昱㔱㠲㐷〱捡㠲捣㑥㍡㈸㝥っ㘰㌸晥㡦㉡挶㔶㤵扦㐴ㄳて挶㉦㑢㤲㤱晥〹㜶昸㈴㐰ㅦ摣户㈲㈲挲戲晥㈹㤴㈴㕦㑡挱愱㕥晡㘹㔶㝣㠶攰戳〰攵〲㈷扢攵㕤攳㥡㝡搴㕣㥦㐳㔷昱〸〱㝥晡㘳㔱㠶て〵敥挳扢扡摢捡㍣ち挷ㅦ昶㐳㤳愶扥攰扦ぢ㕦攴慦㜱搱㝤昸て㐹ち捡戰捦㙢㜷昶㌶ㄶ㤹㠰㌶戹晡慤㘰戳㕦挱㌸㕣㔷㍢㠲挲ㄱ愹㔴㑡㕡㔱㄰摦㕣戰㜰昱〶扥攵㤰慡㄰㠲㌴愰㉡㥣愸攲㌰ち昴捦戳㈹㜱㑣㍣改㕦攰ㄳ㔱慢㌶昱㡢㔱㠶て㠲㜸㔵摤敦㡦扡挷㉦㈴慥㔵㠵搵昱㐲攲㕦㔵㉣㈷㕦昸〴〷㔳挸㐲㈶慤㤵㠸㌴㐵㐳㕦㐵㘶愸㙦㤸㜳扢て㍦敤愲愸㥤慤㥦㍤晢搲㜰㝥散敡晣晢摥㍢昸挴ぢ扦㝣昱昱摦㝥昰搰㕦晥昵攴㤳扦晤搳攳捦晦敢㈷㑢㠷㝥晥搴㔳㍦扢晢ㅢ捦扦戸摢晣愶昶捣㑢㜳摦㝣㘸昲晣㐳て㤸愷㙦㍥晡搰晢敦扦㜷㜲攱戲昱扥扥晥晥㥢㐶㝦㜱搵㕢㐷ㅥ㜹攰㔹昱搳摦㕦改〸戵㕣扣㈰㍤つ㉥㕢㑤攳㙢挸㘰ㅡ㥣昱㙢㍡つ㉥㔷㙤搴㔲戴㔱搳㈸㈸挱愷挱〹愸ち㈳㕤㌱昰ㅦㄸ㔰戴㤲</t>
  </si>
  <si>
    <t>㜸〱捤㝤〹㝣㔴搵搹晥㥣㤰ㄹ㜲㈶㐰㐶〱ㄷㄴ㡣㈰㙥㘰捣扥㠰㌸㠴戰〸戲㐹㐰㕣搰㌰挹摣㈱㈳㤹っ捣㑣㐲〰㤵㤸㔲戵慥搴扡㝤㉥戸摢晡戹㔶愹㕡慢晤㝦㉥敤扦搵扡搶捦㕡㜷慤戶晤搷愵㙡搵摡扡㝤捦昳捥扤挹㥤㝢敦㈴攰搷晦敦搷㙢收㥤戳扣攷㝤捦昳㥣㜳敦摣昳㥥㝢搱愷㝣㍥摦㌷㌸昸捤愳㤰㠹㝤㥢㌷愶㌳㐶愲慣㈹搹搱㘱戴㘵攲挹捥㜴㔹㘳㉡ㄵ搹戸㌰㥥捥っ㠳㐲愰㈵㡥晡戴扦㈵ㅤ摦㘴ㄴ戵㜴ㅢ愹㌴㤴晣㍥㕦㔱㤱㉥㐰㝤㠹昹〹㔹ㄹ捤㔶扡㤰〲㕡㍥ㅤ愰ㄸ㑥㔱㐴愱㈹㠲ㄴ挵ㄴ㈳㈸㐶㔲㡣愲愰㌵ㅤ愲搸つ㘲挴敥㄰换㥢㘶㉤㘹㍤〵㝤㙢捥㈴㔳挶搴搲㘳戳㍤㤸㔱㔱㔱㔶㔱㔶㕤㔷㔱㕢㔶㍥戵戴愹慢㈳搳㤵㌲㘶㜴ㅡ㕤㤹㔴愴㘳㙡改搲慥搶㡥㜸摢搱挶挶攵挹戵㐶攷っ愳戵扣慡㌵㔲㕤㕦㔱㕤㔳ㄳ㙢㘸愸ㅦ㌱ㅡ㤶ㄷ㌷捤㕡㥡㌲㘲改㝦㤵捤㌱戴戹愴㘹㔶搹㘲㈳昳慦戲㌹ㄶ㌶㘱㜲㜶㌲ㄱ㠹㜷晥㡢㡣晡㌹㐲㌵戳㡤戶㌸㠷搲㌰㔲昱捥㌵㘵攸㜶づ搱挸搵㤵㌵愶搳㕤㠹㜵㥣ㄵ㑤㐶㐷挷㌲㈳㈶㐳㤸㤸㥤捥㉣㡤愴ㄲ改ㄱ〹昲㘷愴㡣捥㌶㈳㍤㉡㌱愷愷捤攸㌰ㄵ搳㐵㠹㘳㈳愹挵㤱㠴㔱挸㐴㐹㈲㍢㠶昳愳㐶㘷㈶㥥搹㌸㌲戱㈲㙤㉣㡢㜴慥㌱愸攲㑦捣敢㡡㐷㔵㘱㈱晥㝣挳づ昲敡㤹っㄴ晡㤳㘸㙡㡦愴㌲㤲攳㄰㔶㜸改摡愶㡢愰挸改ㄷ愷㔴愹愳ㄵ挷慣㌹㥥㌸摡㐸㜵ㅡㅤ㜴挲㤱㥣攲㔰ㄲ㠲戲攳搰捦㤴〵㠷愳愴㡡捤㔳㠹㔸攸㈵戰〷挴㈱㡢㤳愹〴㈶攴㈲㈳搲㌹愳扣慣戲扡扣戲戶戲慡愲愲扡戲愱戶愲㘱㙡㜳㈶㍡摢攸㐶㐵㜹㠵摥ㄳ敡㝡㉦㌶摣ㅢ愲㘴㜹愴愷㌴ㄵ挹ㄸ愵㤳㑢ㅦ戹慦戴㔶㡦㘳昵㍥㄰慡昰㙤㥣挵㜶㙦㍣㤳ち㕡㈲〵㉤慤〵㉤㙤〵㉤搱㠲ㄶ愳愰㈵㔶搰戲愶愰愵扤愰㈵㕥搰㜲㑡㐱换㕡攸㔸㐷搱昰攱〵收昱搶昰㐷挶㌶㥦㜱攴㔱摢㘷㙣慦㍥攷㤶ㅢ㝡ㄴ㑦㕣㌹敦挷㈳搱戰㌰戹挶づ愰愲慣慡㝥愰捦ㄵ㔵㜵つ昶愳㝥敡挲㘴㕢㠴戳㘵㐶戹㥥㠰收㝡㍦㠸㐰㈹挴㕥㍤攰扣㌵㔳摡ㄸ㍤愵㉢㥤㐹㘰ㄲ㤴捥㡤戴攱㠴搶晢㔳㙦㈲㠴㔲慦〲ㄶ愱㝤㜸攴改㡦㈷㑦晣挷晣〷㍦㕢㤵㥡摣㕥㌴㐱昱㍡㈲㝤㍡〰㠹ㄹ换㔳㜱㑣㥣慥㡥㐸㙡敡愲㌸㐹㉤慦愸㠵敢昸㕡愳㈳㙥愴㌳㉣愸慣㉣慦㙥愸慡㈹慦愸愹㘸愸㉤㙦㤸扡㈸搲㈳挵㜵㔵㝡㌲晤ㅤ〸ㄱ㌸〸㘲散攴搲㘴慣㌴㘵㜴ㅢ㥤㕤㐶㕡㠸㥥㔶㌳㑤ㅦ㑣愵㐳㈰㤴㝡挱散搴昱挷㡦ぢㄴ㤵敤戹攸扥㘷㕢ㅦづ㝥㌸扤㑢昱扡㈶㥤㥡㠲挴ㄱ慥㑥㔵搷搵㔴攵㜴慡愶扣㠶㕤㙡愸慢〷㙦㜵㔵㘶㥦㙡慡㙡㙢昴㔴扡㍢っ㈲㔰〶戱㝢㘳ㅡ㘳㥥搳㈷㝤㌸㌵捡㈱㤴㝡摡散搰ㅤ㡤攷㕤扤攷挳㤳㘶摦㜸挴戱㉦晦戱攰摡戱㡡搷㔸改㔰㈵ㄲ昵捥づ攵昴愵扣扣扥ㅣ㥤㈸㉦慦慤慥愸慤愸㙤愸戱ㄸ慡愸搵㔵㜴㔵つㄱ愸㠱昰㈲愸㙥㥡慥愵㔲ㅤ㠴㔲扦㌲晢戳㝣改愴挷ㅦ摡㌴㙣摥戵㐵捦㕦㕢搴户㘹戳攲戵㐲晡搳㠰㠴搷愸㔵搴攴㜶慡〲㐳㔵搳搰㔰㡢㑥搵㤴搷㔵㕡㝤慡㉣慦搳搳攸㙦㍡㐴攰〸〸慦㑥搵㑥搳㌳愸㜴㈴㠴㔲て㥢㥤晡挳㍦㝥摣扡昶摥改㑢㉥扢敦㐷晢㔴扣ㄲ扢㔹昱攷㐷㍡㌵ㄳ〹昷愸㔵㔶搵搵收㜴慡戲戶慡愱ㄶ㍦ㄸ㌸㘳ㅢ捡慢敢捣㍥㔵㈲慤ㅢ㘱㐱捦㠲〸㌴㐱㡣㜵㡦摡戴捡㘹㝡㌶㤵收㐰㈸昵㠰搹愷㤱摦ㅤ㝥摤换昱戲戹户㡦㜹㜰挷摥つ㉢搷㉢晥ㅡ㑡㥦收㈱攱㐱㔴㘵㤵㠳愸捡㠶敡晡㥡㡡敡摡扡㜲昴慤戶㥦愸慡㥡㙡㝤ㄴ晤捤㠷〸㉣㠰昰㈲慡㙡㥡㍥㥡㑡ぢ㈱㤴扡挷散搴㔵愳敥㝦攵戸敦㥣㌰晦㥡㕦摥㝤㘰愶㘳昳攱㡡搷ㄴ改搴㘲㈴摣㐴㤵㔷㔵攴昰㔴㡥ㅦ搶〶捣敤扡昲㥡晡晡昲㥡㕡㙢昰㙡换㉢昵ㄲ扡㕢ちㄱ㌸〶挲慢㑦搵搳昴㌲㉡㌵㐳㈸㜵㥢搹愷挶㠶攸敢㘳搷慦㥦昵搰ㅤ㡦㜶扦昴搴㡦㥥㔲扣㔹㤰㍥慤㐰愲摥㜱㙤攲㘹㡦㥦昷㠶〶㜴慤戶扣愲ㅥ搷〴摢搵搵㝥㘹㍡㤶慥㔶㐲〴㡥㠳搸摤㝤〹搰挷㔳攳〴〸愵㙥㌲㍢ㄳ㜹㈰㜳㑥昸昹㕢㡦摥㜶晡㔹て㌴㙦敥摢愱㜸搳㈲㥤㔹㠵挴〴晢㔵ㄲ㍤愹慤慡戲㜹慦搴㈷搱攰挹㄰㠱ㄶ㠸戱㑢㡤㔴ㅢ慦㠱㙢㔲挹つ㤹㜶敢ち扦㥡㑡ㄱ〸愵戶㥢㕥㡤㈵敦戵㕦㌵敦扥㤹㤷㍤㜹搶㤹㘷㍦戹㜵愳攲㕤㤲㜸㙤㐳㘲敦ㄵ㥤昱ㄸ㝥㕦慣敢㘰晦㑣愸搱㔱摡㌲㈰〲㌱㠸㔱换攲改戵愵㜳㔳㠶㔱扡っ㍦㈹㝡つ㙢摢㈱㤴扡捣昴昴摦ㄷ㝣㝥挷㡦昶敢㥤㝢㕤摦㐷晢摤晢昴㘵敦㉡摥㡡㠹愷㔳㤰㘸㜰攰慢慡慤慥慥慤慥慣愹慥慣慥愹慢慥戶㘱㉤㜷㔴㘹晥昰攸づ㠸㐰〲挲㙢昴㜱㥡㜴㔲㈹〹愱搴㌶戳㐳ㅤ搷㥦昱摡㠵摢㕦㥣㝦㐳戰昲愶挹愵㥦㜶㉢摥ㄶ㑡㠷搶㈳㌱摤㜹㝤㉢㉢慦㜱㥣㈵㜵㤵㤵ㄵ昵㜵ㄵ㜵戵㜵戵㔵㤵ㄵ搶㠴慣㙦愸搶㈹㝡㑢㐳〴㌲㄰㝢换㤹扢㉥ㄵ㑦愶㌸㈰改㜴改搲愵㜳戲扦戹㕤㔴散㠶㔰敡㝢㘶户㙥晣㙣攱㠹㌳捥㍢㙤收搶愳敦㝤昴㌷㜷〶㕥㔴扣㔱㤵㙥昵搰㤶㘳㐴晡㉦慣昵㝡㈳㙤㙤㠲〸㙣㠶搸㜳㑡㘹㘹改㥣昵㕤戸ㄷ㉡㤵挱挱㉤㑤㈲摥㤵搰愷㔲敤㌴〸愵晡㑣㤷ㄳㄷ慥昸摢㥤㝤搵昳敥㝤愰晥愳攸挶捤㠵㈳戶愰晡ㄸ昳㙥㘳㜶㉡戲〱昷㙦〳户㠶㤵㘵㤸㝦㍢㜳㑦㡣㕢攲㔸㑤慣㉥㔶㔱ㄱ慤㈹㡦㔴㐵晣扣〱搹搹㥢㉦づ挶㠸搸捡㜸㘷㌴戹㐱敥挶昶㥤ㄵ㐹ㅢ〳㌷㘷㔳捣扡㔹挹慥捥㘸㝡ㅦ敦捡收っ㈶攳㌸㘷摤㠰ㄱ㔷戳㘶摣慢ㅡ㘹昱㌷挱搹散搸㐸㐷㤷搱搸ㄳ捦㔶㡦㜷㔴攳㑥㌵搹㥡扦ㄶ愷挶晡晥㕡㔷㡦ㅡ戱㌰敡ㄶ摢㉥㤴搹慡㙣扦㑡㥢摡㤳㘹愳㔳扡㌷㈵戱㌴摥戶搶㐸㌵ㅢ㕣㔶ㄹ㔱㠱㍡㤶㔵收敤昲㤴㈵㥤〰㡡ㅢ攰攸㐴㝢㘹㙣㑥㑦挶攸㡣ㅡ㔱昴㜷㥤㤱捡㙣㕣ㅥ㘹敤㌰昶挸㔱挹晡㐴挵摥㌹挵㜳㤳㙤㕤改愶㘴㘷㈶㤵散挸慤㘹㡣㜶㐷㜰㡢ㅥ㕤㤴㡣ㅡ戸挳㉥攴攱㔳扥㘱挳㤴昲ㅤ敡㜵㥢㑢扢改㌲ㄹ〸摢㄰昳㠶㝢慦摣㘹㔷戶っ攸㠰愲挳攰㥣㉣㌸㘰〸㘳㘲㤷㘶づ挹慦㘸挳挴㌵㈸戵て捥慦㉤㝤散ㅦ戹晦扦捡〵〵愳㑤昴㜳㜰扦㤸㌹㉡搲ㄹ敤㌰㔲㠳慥愰ㄵ㝢愴㝢㈱晣㕢㜰㌶攷㘵㡦㜷摤慡㐷㙤昴㙦㠸㐷㌳敤㠱㜶㈳扥愶㥤搷㈶慣戲㡢㡡㐸慤敢搰㝤㈸搲摦愱搸ちㄱっ晡〲摦愵㔲㈰愸捦捣收晤㕣㑢散晡〲㠹敢㜸㉤ぢ㌲慣㥥搳晥挴摣㘴㉡㍤㙣㤸ㄷ捡愳㈲改昶っ愷攷愰㤵㕣ち改戳㈸捥㠶昰㜳ㄹ㌳攴晡㡢扦㍤㠵㕣㘶㡥㑣捣㌶㘲ㄱ㉣敥攵散㔶ㄱ㝦㈲扢㕥㥣㙤愴摢㌴ㄷ㤶昳㜱慥昴〴㤰挲挹㍦㈲挱搹㙦昴㘴㘶㐷㌲㤱攱〹㉣㔱㌱㑡ㅡ㑡㔳愴㔵㌶挵㤶㈳愵捣㙡ㅤ㌴㜳戰㄰㤲愴捤㑡戱ㄴ㘴㉤攱挴挱昹攲ㅢ㘶捡挱㐱愰敦㕣㐴〶㥣ㄳ㍤㜷愹㠹ㄵ㜰㜴㥥搱戹㝣攳㍡㈳㑤昵愲挰愰㔴㍡㑦㉦ㅡ㕢搲搶扡㈲ㄳ敦㐸㤷愱愷昳㔲挹慥㜵晦㑡㍢戴愵扦〷㘱ㅤ晥㙥捣攲㥤挷〴扡㝣挳扢㌹㌶㉤㉤扥㈲㕡㘳㠹收晡㔶㜳戶挲搸㌷昸㤲㐳㥦㡦慦攰㘰㜵㝥慥㝥㜷㘵㔹敥㠷晥㠸〴ㄸ㕡㡥㍢ㅦ㑥㥣㈲挹㠰敤㤱㠹㤵挹搴摡搶㘴㜲㉤㡢㐷㐹㉥摤㙥ㄸㄹ㉥摥㡢捤㘰㠵〴㈵㤴ㅡ㌶㉣㘷慤㙤㕢攵㜳搹ㅦ昸㍥挴挸挶㡥㡥㔲换㘲㍡㜰ㄱ㡡㠶㈱㡣㄰昸〱ㄲ攳ㄶ挶㕢㡥挷攵户㍤㤲㙣㤹摢搸扣扣〵戳㈹㔳㕤搶搳㤱敥㔱ㅤ挰捦ㄵ敦敦㘳㤷㡦㥢㜹攵昰愶㠷㍥扦戴㘲㘵搱㠴〷搴㕡戳挲戵㍣攷戲㕡〲〵㤷㈲愱攲㔰摢㠲て搲戹㠷扥ㅣ㜹晤ㅦㄴ㔷㐰攰敡㈰㝣攳攲㜰㔵㌶慢昶挳㌷㉦㄰晡㙡㡡敤㄰㙡㝦〸㥥㥥晡ㅡ〸敢㔰慢㘱㥦愳㉥㈳㔷㡡㘲昷挸摤㠰搲愰ㅥ愴㑥㜱㠱捦搱搳㘴㑢㤳ㅦ㑤㙥搴戱㌰散㐹挰ち戳挲ㄵぢ㤸㡣㘶㐲挰㙤㙣摦っ戵㉤昸㈰㥤㝢攸㍢㤰搷㜷㔲摣〵㘱㈳攰敥㙣㔶㌱〶㈰〴摣㐳愵ㅤ㄰敡㘰〸㈱攰㈷㐸㔸㠷㕡〰晢晤〴ㅣ㠴㘲㌷〱㍦㐵㘹㔰て㔲愷ㄸ㑣昰㈲㘰㈶㡣㝢ㄲ㄰㌶㉢㕣㜱㠷愹戰㈴〴㍣㠲㠴㥡〱戵㉤昸㈰㥤㝢攸挷㤰搷扦愰昸㈵㠴㡤㠰㕦㘵戳敡㌰㝣ぢ〱扦愶搲攳㄰敡㜰〸㈱攰〹㈴慣㐳㔵挳㝥㍦〱㘵㈸㜶ㄳ昰㌴㑡㠳㝡㤰㍡㔵づつ㉦〲づ㠵㜱㑦〲づ㌱㉢㕣㜱㡥㉡㔸ㄲ〲㕥㐴㐲ㅤ〴戵㉤昸㈰㥤㝢攸㤷㤰搷㉦㔳扣〲㘱㈳攰戵㙣㔶㔵攳㕢〸㜸㥤㑡㙦㐰㈸挶㌵㠴㠰㌷㤱戰づ㌵〱昶晢〹愸㐱戱㥢㠰㜷㔰ㅡ搴㠳搴愹㍡㘸㜸ㄱ㌰〶挶㍤〹ㄸ㙤㔶戸〲㉢搳㘰㐹〸昸〰〹戵ㅢ搴戶攰㠳㜴敥愱㍦㐴㕥㝦㐴昱㌱㠴㡤㠰㑦戲㔹㌵ㅤ摦㐲挰愷㔴晡っ㐲㌱㠶㈲〴晣ㅤ〹敢㔰㐵戰摦㑦挰ㄱ㈸㜶ㄳ昰〵㑡㠳㝡㤰㍡㜵㈴㌴扣〸昸晡敢㍣〴㝣㘵㔶戸㠲㌸㡤戰㈴〴㜰ぢ㐳㝤〱㌵㙦〲〲愸搶挳㈹㡡㈰㙣〴〴戳㔹㌵ぢ㠶㠴㠰㘲㉡㡤㠰㔰戳㔱㈴〴㡣㐴捥㍡搴挷昰搱㑦㐰ㄳ㡡摤〴散㐶㥢㝡㤰㍡㌵〷敤扣〸昸㜳㍥〲晥㘴㔶戸㈲㐶㐷挱㤲㄰㌰㡥㕤㝥㈷㉦〱晢愲㕡㡦愷㤸挰摥つ晣ち㤴㘶戳㡡㤱㈲㈱㘰㝦㉡㑤㠴㔰っづ〹〱㤳㤰戳づ昵㡡㥤〰㠶㤶摣〴ㅣ㐴㥢㝡㤰㍡戵㄰敤扣〸㜸㉥ㅦ〱捦㥡ㄵ慥攸搴ㄲ㔸ㄲ〲捡搹攵愷昳ㄲ㔰㠹㙡㕤㐵㔱捤摥つ㄰㔰㥢捤慡愵㌰㈴〴搴㔱愹ㅥ㐲㉤㐳㤱㄰搰㠰㥣㜵愸㕦摡〹㌸〶挵㙥〲㘶搰愶ㅥ愴㑥㌵愳㥤ㄷ〱て收㈳攰㘷㘶㠵㉢ㄴ㜶㉣㉣〹〱㜳搹攵㥦收㈵攰㈸㔴敢昹ㄴぢ搸扢〱〲ㄶ㘶戳㙡㈵っ〹〱㡢愸戴ㄸ㐲ㅤ㡦㈲㈱㘰〹㜲搶愱敥戲ㄳ㜰ㅣ㡡摤〴㌴搳愶ㅥ愴㑥㥤㠰㜶㕥〴摣㥣㡦㠰㥢捣ち㔷昸㡤ㄱ㌵㈱㘰ㄵ扢㝣㐳㕥〲㑥㐶戵㙥愱㔸捤摥つ㄰搰㥡捤慡㤳㘱㐸〸㘸愳㔲ㄴ㐲慤㐶㤱㄰㘰㈰㘷ㅤ敡ち㍢〱㉤㈸㜶ㄳ㄰愷㑤㍤㐸㥤㡡愰㥤ㄷ〱摢昲ㄱ㜰愱㔹攱㡡〴㐶㘱㐹〸㐸戱换攷攷㈵㈰㠳㙡摤㐵搱つ㘱㈳愰㈷㥢㔵〶っ〹〱ㅢ愹戴〹㐲㌱㍥㈸〴㙣㐶捥㍡搴㔶㍢〱っ㉢扡〹搸㐲㥢㝡㤰㍡搵㡥㜶㕥〴㙣捡㐷挰㐶戳挲ㄵ愰㘴㘰㔱〸㌸㥢㕤摥㤰㤷㠰㜳㔰慤捦愵㌸㡦扤ㅢ㤸〱ㄷ㘴戳㡡挱㐹㈱攰㐲㉡㙤㠳㔰㥤㈸ㄲ〲扥㡦㥣㜵愸㑥㍢〱㡣㘶扡〹戸㠴㌶昵㈰㜵㉡㠹㜶㕥〴㐴昳ㄱ搰㘶㔶戸〲愲㈹㔸ㄲ〲戶戳换㤱扣〴㕣㡢㙡㝤ㅤ挵昵散摤〰〱㌷㘶戳㉡つ㐳㐲挰㑤㔴扡ㄹ㐲㜵愱㐸〸昸㈱㜲搶愱㡥戳ㄳ㤰㐱戱㥢㠰㕢㘹㔳て㔲愷扡搱捥㡢㠰挵昹〸㔸㘴㔶戸㐲慦ㅢ㘱㐹〸搸挱㉥ㅦ㥤㤷㠰㝢㔱慤敦愳戸㥦扤ㅢ㈰攰㠱㙣㔶㙤㠲㈱㈱攰㘷㔴㝡㄰㐲㥤㡡㈲㈱攰㈱攴慣㐳捤戲ㄳ戰ㄹ挵㙥〲ㅥ愶㑤㍤㐸㥤㘲㜴搷㡢㠰晡㝣〴搴㤹ㄵ捥㐰戰扦ㄷ㤶㜶㈱㠰㔷捣づ挷㡥㡤ㅢㅢㄸ㜱ㄸㄵ挳ㅥ㝣ㄳ戶㘳㤳ㄲㅥㄹㄹ㥢㥤㕣㥣捣捣㡥愷搷㜵㐴㌶㡥㡥㤹㠹㤵敤㐶㈷㠲㤷㈹挴㌰ㅤ㘵挹㜵敢㡣愸㡥㌵㈷扢戰㤹㌱㝦昶扦㐳㜰ㄳ昸㌰㜴ㄲ搷㉣㔰㌸扥㕤扣づ愱㜷㠵㔹㠲挳攷敦㠳㐱㘷搸㐵㥥〴戰㠵㐸㈵ㄹ㠲㘲挹〰愳换攳㤹づ愳㌸㈶攱㐹㐹ㄷ挵挰㈲㈲挲搱攱戱攵敤〸㐷捣ㅥㄹ㥢㤷㡡㐷㍢攲㥤〶〷㘳㑣㔶㜵愱戱〶搱摦愵挹㜴㥣摢攸㈳㘳换㔳㤱捥昴㍡〶戲摡㌶敥㥥㤳㤳㠸㤷㍦㌶㉢摥㤹㠶ㅢㄹ㐵愶㑢㘲捤敤挹つ㜸㥡愷㉢搱㌹㉦戲㉥晤㙦㌱㉡〳㘷㤰っ㡤㉡㔰〵〵慡愸愰攸摢㡥㑦攰㜱㔸ㅣ㥤摤㤲㉡挵㍣捤愴攲慤㕤㈴㡣挳敦慢挴愷㤰㐲挶搰攷㘷㡣搴ㄹ戲戲つ愱㈳摥捣扥收㍣搷攲ㄹ晡散㝦㐴㙡㌴搴昵ㄳ㘸㌴攲㌷㄰ぢ收慤㤸㍦戰ㄳ昳扦㝡㐲挹捦愸敥㑥〷扥挷㐲㜹㔴㜶ち㌱ㄸ捥ㄹ㠵㌳ㄳ㌳㠱㌹攷戴っ挶㐴㠷㌳㜴搴㐰㜲㉥㘲愷㈳㘲ぢ㈳慤㐶〷㐲扥㠹㐸㘶㔴㌶挳搸㍢㥥㘰㐹㥢㜵㑤挹㐴㈲挲㈹挷攷㜰㥡摢㈲ㅤ㐶㔱慣戱㉢㤳挴愳ㄸ㍡〶㈱昳搲㉣㡡昴愰㈸搲㤳つ捥挶㤶㜱㉢㐸搲戴㤵㕣ㄳ㐹挵㌳敤㠹㜸㕢ㄱ㌳摣慥昹户㤸慢戸㝥ㄴ㠲㑣敢戰慥㈵捥㘸㙦㌶收㡡攱㉥挳〶〹愹攳昰㘳㐶ㄷ愸〰晥㔳摦㜲愷〰㔷ㅥ昹㐱搱㑦挱㥡扦〰㥤攰愵㐸㡥て慤攷昶㍥㤴㝢㉣㕥㥣搴㤹㔴挰㐷㍦つ挹〴㍦㠵㡣戵てㅡ㐶ㅥづ㠵攰挲㘴㈴㥡㝤〴㘷戸昹㐴㕤ㄱ㠶㤶㤷㥡㔴㠸㠱晤㈶散ㄵ㘱て慡㍢ㅥ㌵㔲㐵㉣㘸挶昳㝦㠵摣ㄲ〸㘴挷㄰㈱捥㘱㍥扦扦戸挸换搷㝣换搶〱㘶戸搴晥㝣攱㝣㤷晤昷㡥愹て愳㔳㌸㘱㠷㐱敡㘷㠰㐳㍦㑢㑣㘷㈳㑢㍣づ㠵攷愸昰㕢〸㍦㠳搳捥戱挹㡤戱㈳ㄲ慦愱㔴挸㐰㙦㈱愳晦㐵㠸㤴换戶㠱㕦㠰ㄴ摢挲晤〱挴㘶戱㘷㔰㘴㍤攰ㄶ㘸挶㉣㌷愲挱散昵㤵摢ちㅣ㡥㠲㠲㐲っ㜵挰戹㔵敡㜲ぢ㘳㠹㘶㐳昶〱搴ㄸ㜴㈱昰㍣ㅡ敦挹㤳〵昶㕢㥣捦㜷㝤ㄷㅡ〸戳昴挷㜱㠲㐱晤〲昴㝤㐱挵挰戸㐵挲〸㤶〴㌹㠲晡㜷愸搵㉦㐲愸㑢㤱敤挵挷昶挳愵㉥㐷㤶㍦㕥扥挰敦愱戲〷㑥戱㑥㜹ㄲ㙤挸敢愵㘲搴㤸搷㑣晤ㄲ㙤㕦㠱ㄴ㉦㐵晤㔳昳ㄵ㤴づ㍤㌵慦㘲ぢ㝣昴慢㌴㘲㘶ㄴ㘳捤ㄶㄲ㈴慤昱㝥つち晡㜵㉡㌲づ敤愱昰〶ㄵ摥愴挲㌵㔰攰㤸〷摥㐲㙥㤲挵㘵㘹㘹㘹摥〷捣㍣㜸㝤ㅢ㙤挱敢つ㌶㘷㌶㕥摦愱戳㍦搲搹㙤㔰攸挵挷捥敢ㅤ挸㘶㜹晤ㄳ㔴昶ㅣ㜸っ㘱㘸㘲敦㐴㔳㈱昶捦㌴㝥ㄷ㜲㌹挴晥〵愵㐳ㄳ㝢㌷扢㠳㡦㝥㤷㐶捣㡣扡〷〹て摥摥㠳㠲㝥㥦㡡㍢扣ㄵ㍥愰挲㕦愹昰ㄳ㈸〸戱ㅦ㈲㌷摥㈲搶晤㙣っㅦ㡦昳愰昴㘳戴〲愵っ㠴㕢晤戰㔱晡㌷扡昹㠴㙥ㅥ㠱㐲㉦㍥㜶㑡ㅦ㐳㌶㑢改愷㔰搹㈵㑡㝦㠱愶㐲改㘷㌴捥㐰㜷づ愵㥦愳㜴㘸㑡ㄹ㄰㠷愲㑦晦㠳㐶捣㡣晡㌵ㄲㄶㄴ㈴慤戹晡㑦㈸攸㉦愸挸㠸戹㠷挲㤷㔴昸㡡ちっ愲ぢ愵㕦㈳㌷捥愲搴晤㥣㤸ㄷ㥦扥〲扡㔴㡣慢㕢㍥㙣㝣㉡搴敡〲〸昵㈲ㄴ㝡昱戱昳昹ㄲ戲㔹㍥㠷㐱㘵㤷昸㝣ㄹ㑤㠵捦㐲ㅡ㝦〵戹ㅣ㍥〳㈸ㅤ㥡㑦挶搷㠱ㄸ愱㔷ㅡ㌱㌳敡㜵㈴㉣㈸㐸㕡㝣ㄶ㐱㐷昳㐹㜲昵㠶户㐲㤰ち挵㔴㜸ㄳち挲攷〸攴〶㥢愲㜸㐰搱㘳㡡㡥㐲㉢㔰晡㡥捤㡤㡤搲ㄲ扡攱㐳散㡡㔱昵㕥㝣散㤴㌲㤴摥挷戲挰㙥㔰搹㈵㑡ㄹ㠰ㄷ㑡㜷愷昱㡦㤱换愱㜴っ㑡㠷愶昴ㄳ㌴ㄳ㑡挷搲㠸㤹㔱っ摢㝢㔰扡〷㜴昴㥥㔴㘴㐸摦㐳㘱㉦㉡散㑤㠵扦㐳㐱㈸ㅤ㠷摣㘰㤴攲昱㑡て㑡昷㐵㉢㔰晡㠵捤㡤㡤搲昱㜴㌳㠱㙥ㄸ愷敦㠵㤲㥤搲〰捡晡㔸ㄶ搸て㉡扢㐴㈹㐳晡㐲㘹㈹㡤㌳戶㥦㐳改㐴㤴づ㑤㘹㄰捤昰攷搳㤳㘸㠴㝤攳愷ㄸ搲㠳戱〳愰愳㈷㔳㜱㠴户挲㠱㔴㌸㠸ち摣㌷㄰㑡て㐶慥㥦㔲昷㔹捦愷㐳㍤㈸㍤ㄴ慤㐰㈹㜷ㄳ慣㝥搸㈸㥤㐲㌷㔳改㘶ㅣㄴ㝡愱㙡愷㜴㕦㤴昵戱㉣㜰ㄸ㔴㜶㠹搲昱㘸㉡㤴㤶搱昸〴攴㜲㈸㉤㐷改搰㤴㤶愲ㄹ晥㝣扡㠲㐶搸㌷㝥昶㠷戴愰㈰㙦㥤昸㤵搰搱㔵㔴㥣攸慤㔰㑤㠵ㅡ㉡㜰㈷㐲㈸慤㐵慥㥦㔲㡦摦㈶㍣摢敡㐱㘹㍤㕡㠱㔲敥㑦㔸晤戰㔱摡㐰㌷搳攸㠶㝢〹扤散攱挰晡㕦㜱〳愱㡦㘵㠱改㔰搹㈵㑡戹敤㈰㤴ㅥ㐱攳搵挸攵㔰㝡㈴㑡㠷愶戴ㄶ捤昰攷搳㘱ㅡ㘱摦昸攱㘶㠵〵〵㜹㡢搲㤹搰搱㡤㔴慣昷㔶㤸㐵㠵㈶㉡㜰㙦㐳㈸㥤㡤摣㘰㤴攲搱㕣て㑡攷愲ㄵ㈸㥤㘱㜳㘳愳㜴ㅥ摤ㅣ㐵㌷㜳愱搰换ㅥ摡㈸攵㤶㐴ㅦ换〲昳愱戲㉢㜷愶摣挷㄰㐶ㄷ搰昶〲攴㜲ㄸ㕤㠸搲愱ㄹ㕤㠸㘶昸昳改㐵㌴挲慥昱挳摤てて㐶ㄷ㐳㐷㉦愱㈲㜷㐶㍣ㄴ㤶㔲攱ㄸ㉡㜰戳㐴ㄸ㕤㠶㕣晦慦扤㝢㤲㝡搱戹ㅣ㑤㐰㈷昷㑦㉣ㅦ㈳㔹㤲扤搱㕦㐱ㅦ挷搲挷㉡㈸昴愲挲㑥攷挹㈸敢㘳㔹㘰㈵㔴㜶㌶㉡愲㕡搰㑣戸㍣㡥㠶㔷㈳㤷挳攵〹㈸ㅤ㥡换㔶㌴挳㥦㑦㥦㐸㈳散ㄷ㍦摣㐸戱㘰㈰㙦捤捥㔵搰搱㈷㔱㤱㥢㉣ㅥち㈷㔳愱㠵ち摣㜷ㄱ㉥㔷㈳搷㍦㍢扤㥦㥡昶㤸㥤慤㘸〵㍡戹ㅢ㘳戹戱搱搹㐶㌷㔱扡攱捥㐹㉦㝢㘸㥢㥤ㄹ㤴昵戱㉣㘰㐰㘵㡣昹㍣敦搰㌷昷摣㘱ㄱ㍥㘳戴摣㡤㕣づ㥦敤㈸ㅤ㥡捦ㅥ㌴挳㥦㑦挷㘹㠴ㅤ攳㠷晢㌲ㄶづ攴㉤㍥㑦㠱㡥㕥㑢挵㑤摥ちㅤ㔴㐸㔰㠱摢㌸挲㘷㈷㜲㝢㕢㜷愲㔸㌵㌹㥥ぢ昷攰㜲ㅤ㕡㠰㑢〶ㅤ慣㍥搸捥昴昵㜴㤱愲ぢ㙥挲昴戲㜷㌶㉥捦㐱㔹ㅦ换〲㘹愸散昴搴㍣ㄷ捤㠴捡っつ㥦㠷㕣づ㤵摤㈸ㅤ㥡㑡㙥敥攰捦愷㌷搰〸晢挵て㜷㜸㉣ㄸ挸㕢㔴昶㐰㐷㙦愴㈲㜷㝦㍣ㄴ㌶㔱㘱㌳ㄵ戸㈱㈴㔴㥥㡡㕣晦搴㜴㥦收㜹㝥摥㑦㐷㉢搰挹㙤㈲换㡤㡤捥㉤㜴搳㑢㌷摢愱搰换ㅥ摡攸扣ㄶ㘵㝤㉣ぢ㥣〱㤵㕤晡㉤扡づ㑤㠵搲㍥ㅡ攷㌶㔰づ愵㕢㔱㍡㌴愵摣㉥挲ㅦ昶㍣㘸㠴㝤攳㠷㝢㐶ㄶㄴ攴㉤㑡捦㠴㡥㍥㡢㡡㌷㝢㉢㥣㑤㠵敦㔱㠱㕢㑣㐲改㌹挸敤㙦捤捥晣㑦攵㝢捣搲昳搰ㄲ戴摥㙡㜳㘵愳昵㝣扡扡㠰慥㜶㐰愱㤷扤戴搱㝡㉦捡晡㔸ㄶ戸㄰㉡㍢㝦挶㜳㐳㐹㌸摤㐶换昷㈳㤷挳改㐵㈸ㅤ㥡搳〷搰っ㝦㜸ㅣ㡥㐶搸㌱㝥戸つ攵挱改挵搰搱㤷㔰昱㐱㙦㠵㑢愹㜰ㄹㄵㅥ㠲㠲㜰㝡㌹㜲ㄳ㉤㑥㜱挶㑦挱挷敢扤〳て㔲慦㐰㔳㤰晡戰捤㤷㡤搴㉢改敢㉡晡㝡〲ち昸挳愳㠴捣㈱㌱っㅦ㍦㐳㤸捥挸㥣㉢㙡㕡㐸て㌱挶㑦㥢㌳ㅢ㍢㄰戳㘶㤲㤱扡㙣㡡㌱挷㙣㌵攲㠷挹ㄴ㤶ㄱ㠵捥㐷愸晢摢㙥㠱愹攲㌱㡥挷搳愵ㄹ㙢㝥㠳摥昸㕢扦㜲㍦㠲摤摦㥥ㅤㅦ㜸㔶㤵㙤㜸〴慥〱愶㌱㡢攲㙤㜸㌱㈴ㄹ换㤴㌶㘳㍦愶㤴㡦晢㘳㡦扢扣搱扦ㅡㄶ㍤㝤ㄲ㔸㘱㈷㠰昸扢昹昸㙢㜰㙤㘷㜲㐳愷昴挶㥦收㕢て昴愶㠷て愷㥢㈰㍥㜲㑣〲㜹㈱㠶㜲搹㔸㕦〷挷㈳㠷㠵ㄸぢ攵ㄱ㘲㍣㔴ㄲっ㝥㑡㠲〱㔰ㅥ晥ㄷ㤰搸搹㘸㈴㙤慢㔶晣㐶㐷㤵㔱㌸㝣戸㥡散㜸戶摥ㄵ挵散㝦㌸㌹㄰㘰㄰搳㝦㌲㈰敦㕣㈳㜶㙦㠰㔱㌶收挴搰㌷〰㤸扥ㄱ㈲ㄸ㘲〸㤳ㅤち摣㠴散敥㑤戳㕡昰搰慣昵ㄸ㉤㘷㐱攰㘶㤴㡦㐰戹㐴㙡昱晥㜱㍡昰㐳㤴散㠶㤲摣昷㠹〳㍦㐲昱㈸ㄴ摢㜶㜳㐲㉦㥡搶攵㔱㔳㜹戳㔶摦ち㌵㜹搱㔶扤㠴㑡㜶㔰摦㡥㈲㈶搸㌷昵ち㔲㥣戸㙡ㄹ㔰㜲扡愰㄰捦挳㐲㠵挳慤㤶愲㠴㐳㥥㍢㘴慦愲㠱っ搹㡦愱㠷㈱㝢㡤收㜰㠴ㄸ搲㤴挴ㅢ㔶攲㑤㌳愱摥㐶㠲挳愶ㄶ挳ㅣ㈹ㄵ〳昷戰㝢㍢㈰㠲㈱㐶㈱愵㡣搴㘸昲愰〹㕤ㄳ㘸攸㡦㔶攵て㘰㕥摥戲搵㍦㘳攵〴㘴㤵㐴ㄷ㔹晥㄰㡡愰㤸㐵昶ㄷ愴〴搹㉣㌸㜳㈳㥢㠹㔲㌷戲㜷㉤㍦て挳ㄴ㤰扤㐷㜳㌸㐲㡣㈹㑡攲〳㉢挱㈰㈲て挵㐸愰㈰㍢搲㐴㠶愶㍥晤㈸扢昷ㄸ㐴㌰挴㘰㘰㕥㘴っㄲ㑡愵㈰㍢㤰㑤㥦㘰搳挹㌴晤ㄹ㉡昱攷搳㑦愲㠸〹ㄹ戳捦㤱ㄲ㘴㤵㥥挸捡㍤㤱㌱搴㈷㝥㥥㠵㈹㈰晢㈷捤攱〸㌱戴㈷㠹㉦慤挴㔷㘶㐲昹愰㉡挸捡散挸㝥换敥㍤てㄱっ㈹挸扣挸ち慣㑡㐱㜶ㄸ㝣攸㤷搹㜴㉡㔲慡㄰㈹扡搱慦㥡〹㐱ㄶ㐰㐶㤰㑤昴㐴㔶敡㠹㙣㌸ㅡ㐹㈷摥㐴〲挸㡡昰挵㈳挴㈰㥢㈴㠲㔶愲搸㑣愸㔱㐸〸戲〹㜶㘴㝦㐰愹㝥ㅢ㈲ㄸ㘲㜴㉣㉦戲㤰㔵㈹挸慡攱㐳扦换愶㔵㐸愹摤㤱ㄲ㘴敦㥢〹㐱㌶〶ㄹ㐱戶扢㈷戲㤰㈷㌲挶扥愴ㄳㅦ㈱〱㘴㝢攰㡢㐷㠸戱㉥㐹散㘵㈵ㄸ摣攲愱昶㐵㐲㤰㡤戲㈳晢ㅢ㑡昵㈷㄰挱搰㜸挸扣挸ㄸ扣㤲㑡㐱㌶ㅤ〶昵ㄷ㙣㍡㡤愶㑢㤱ㄲ㘴㕦㤹〹㐱㌶ㄱㄹ㐱㔶攰㠹捣攷㠹㙣ㄲㅡ㠹ㅦ〵ㅢ㐰㜶〰昲㍣㐲㤳慤挴㠱㔶攲㈰㌳愱づ㐵㐲㤰㝤晤㘵昶ち挲ち㡤㍤㌹晣攳ㅢ㄰挱搰ㄴㄴ攴㐵挶ㄸ搲〰戲㔹㙣㕡捣愶㡤㐸愹㌲㔴ち戲㤱㈸㘲〲㕦㍥㔵㡥㔲㐱昶㌱ㅣ扡慦㈰ㅦ愲搴㝤〵愹戰晣散〶ㅢ㐰㔶㠹㍣㡦㔰㤵㤵愸戶ㄲっ昵昰㔰昵㐸〸戲て散挸㐶戳㝢㘳㈰㠲㈱㠶㙣昲㈲㘳㈸㘷〰搹㝣ㄸ搴晢戰㈹㥦㤹㔵㐷愰㔲㤰㡤㐷㔱㍦㌲㠶㘲〴搹㕢㥥挸摥昰㐴ㄶ戶晣散て㔳㐰㌶ㄳ㜹ㅥ愱㐶㉢㌱换㑡㌴㤹〹㌵ㄷ〹㐱昶㥡ㅤ搹㈴㜶敦〰㠸㘰㘸ㅥㄴ昲㈲㍢捡慡㤴搹挸㈷㔷昵ㄴ㌶攵挳戰㙡〱㉡〵搹㘱㈸敡㐷挶㤰㠸㈰㝢捥ㄳ搹㌳㥥挸ㄶ㔹㝥㉡㘰ち挸ㄶ㈳捦㈳挴㐰㠸㈴㤶㕡㠹㘳捣㠴㕡㡥㠴㈰㝢捡㐴㈶㈸慡搸扤㙡㠸㘰㠸㐱㡣扣挸ㄸ摣ㄸㄸ戳㤵昰愱愷戳㈹㥦㜲㔵挷愱㔲㤰捤㐰㔱㍦㌲〶㈸〴搹㈳㥥挸晥换ㄳ搹㠹㤶㥦㐶㤸〲戲㔵挸昳〸㥤㘴㈵ㄸ㠳㤰㤲ㄶ㌳愱㕡㤱㄰㘴㍦㌷㤱愱㈹㠲㘸散摥㙣㠸㘰愸つち㜹㤱㐵慤㑡ㄹ㌳㍥㙢慡㡦㘶㔳㍥扥慡㘲愸ㄴ㘴㡢㔰搴㡦慣ㅤ愵㠲散㙥㑦㘴㜷㜹㈲㘳挰㐰㍡㜱っ㑣〱搹㈹挸昳〸慤戵ㄲ㡣〶㐸㐹挲㑣愸㜵㐸〸戲㍢㑣㘴搲㤷㘶㜶㙦㌹㐴㌰戴ㅥち㜹㤱㜱搵㍦㌰㘶〶㑣敢ㄳ搹㌴㡡㤴捡愰㔲慣㥤㠴愲㝥㘴㕣戹ぢ戲敢㍤㤱㕤敢㠹㡣敢㜷昱ㄳ㠱㈹㈰敢㐱㥥㐷㠸敢㜵㐹㜰㜱㉥㠹捤㘶㐲㜱㤵㉤挸戶㥢挸搰搴愷摢愴㝢㄰挱搰ㄶ㈸攴㐵挶〵昸〰戲づ㌶㕤换愶㝣攰㔴昵愱㔲㤰㈵㔰搴㡦㙣㉢㑡〵搹㐵㥥挸戶㜹㈲晢慥攵㘷㍤㑣〱搹㤹挸昳〸㥤㘵㈵捥戶ㄲ㕣㈷昳㔰㕣攸ち戲ぢ㑣㘴慣搰㘹㜶㡦晦㕣㔳㌰㜴㍥ち昲㈲攳ㅡ㜸〰㔹㥡㑤㌷戳㘹㡡愶户愱㔲㤰㥤㠶愲㝥㘴㕣挶ち戲㍥㑦㘴扤㥥挸㝥㘰昹㌹〳愶㠰散㘲攴㜹㠴戸㜸㤵〴㔷慡㤲攰㙡㤵㠷攲㙡㔳㤰㥤㙥㈲㤳扥㝣㠷摤摢ちㄱっ㕤〹㠵扣挸戸㄰ㅤ㐰戶〹〶昵戹㙣捡㐷㐴㐳㔷㕢㤵攷㑢㜷晣搷㈱㍦摤戱敥昱㝥㈲㙣㡡昳㜵散㌹㜸扤㕡㈶摥㌰㍣ち㤳㝤㠰愴戰㘰摡户戳挵㤵搵㘸昴㡦ㅦ㝦ち愸晦ㄷ㜶㐸搶挰㕡㡢ㄶ昷挳㐷㕦〸挰㈵㌷〰慥ㅦ戹〰㍥戶攳挳戰㤹㤹㤹晤㉥㌲扦㐳㌳㑢㙥戴㕡㥣愴昶扦愸搱晦挶㤶㙢㍥晡捦改㤳慦扥昳ㅢ昳㝢㑢攵ㄵ㠱攳晦昲㕦㑦㠵㌷㡦戹㘳摥㥢㥢戶㠶搵慤㘸攱昵㑣㙢〲戰㍣摦㙥敡㌰㉢㥣㙦㌸㠶㙥㠷㈵ㄹ挹㑢㘴戰搴㡦㤱攷㠰愹㔳搰㠲㉣〹戰换〸散ㅥㄴ敦〴戰㌱㈶戰扤㘶㤶散㜰戶㜰〲ㄳ㍣㘳㍥ぢ㌷㥤摢昱愷㉦㙥㜹㌸慣㝥㠶ㄶ㕥挰㡣㝣挰愲㘶㠵昳捤挵搰㐳戰㈴挰慥捥〲㝢ㄸ㜹〱搶㙡〷㜶つ㠱㍤㡡㉡㡥搶㑥㡦㔸㜶〴挷捣㉣㜹捣㙡㤹㙦攴挶㥥户攰㉦㠵搵摦てㅦ昶㔱搵敦挶㕤㝣㘹昸㠶㐹㍦晤昲慣㑦慥っ慢㈷搰搲ぢ攸㐹昹㠰慥㌲㉢㥣㙦㈸㠶㥥㠴愵散㠹㥡〵晡㉣昲〲昴〴㍢搰ㅦㄲ攸㙦慤敥㘶〱㔸㌲晦搴散〷晡扣搵㌲ㅦ搰㝢㌶㝦㝣搷搲戵慦㠵搷捣㕢晤攴昶昲㌷挲㈷㍦㌰㝦㐴挱㤴㌷挳敡㘵戴昴〲扡㈲ㅦ搰攵㘶㠵昳㑤挴搰慢戰㈴㐰㙦捦〲㝤ㄳ㜹〱扡捣づ昴㑥〲晤㠳搵㕤ぢ㘲昶㝢㈷㠰扥㙤戵捣〷搴戲昸晢㘵愵敦敥搶摤ㅢ晥昲㤶㡦㥥㕢搴扡㉤慣摥㐵㑢㉦愰㡢昲〱㕤㘸㔶㌸摦㌸っ扤て㑢〲昴㈷㔹愰ㅦ㈱㉦㐰ㄷ搸㠱摥㐷愰㝦戳扡㙢㜵㙢愷㠱㝥㘲戵捣〷昴㠴攸昴搷㤷㥣㝦㔶㜸昲㝢㜷㡥攸搹扣㉤㝣捣㑢晢㥣ㅡ愹扣㈴慣扥㐰㑢㉦愰㜳昲〱㥤㙤㔶㌸摦㉣っ㝤〵㑢〲昴愱㉣㔰㠵㉦〱㍡换づ昴晦㄰攸㌰㠸㙦㜷㡥㜲㜹㈶㉤昳〱晤敢慦ㅦ㥤㜵㝢晣愹昰㤸㠵挱攳摦㝡晢㤹昰戵摦扢敢捤晦㜷挹㜳㘱㔵㡣㤶㕥㐰㘷攴〳㝡㠴㔹攱㝣㠳㌰㌴ㄲ㤶〴攸㉦㤰ㄸ㌹㑣㜱㜹㈶㐰愷搹㠱晥㕦㤴㤶㜰攱昵敤㠰㜲戵㌶㈸搰晦攴㑣つ㕤ㅥㅥ昵昹捡㝢㑥愸搸ㅥ㑥㥤㜳挱摢ㅦ敦㜷㝤㔸㜱挵收〵戴㈶ㅦ搰㙡戳挲昹愶㘰㘸㍣㉣〹搰㈷㤱〰搰晤昱㈵㐰㉢敤㐰㥦㐶㘹挹㈴㠸㙦〷㤴㡢户㐱㠱ㅥ搷戰攳㔷摤㍦扦㈶扣敡散㈳㍦㜹改戸ㅦ㠶扦㤸戶敥愹戳㥦扢㈳慣愶愰愵ㄷ搰挳昲〱㥤㙡㔶㌸摦〸っㅤ〶㑢〲昴扦㤱〰㔰㉥摥〴攸愱㜶愰扦㐳㘹〹㤷㘵扢昶扢挹㌵㕣㑥ぢ攷敦收挸〵㕦摦㝦挹㍦㉥ㄹ戸㈱攰晡捤ぢ搸攴㝣挰づ㌰㉢㥣㙦晡㠵㘶挰㤲〰㝢ㄵ〹〰㙢挴㤷〰㥢㘸〷昶㍡㑡㑢㥡㈰㜲扡㌹搴挵愷㠴㑢㌸㘹㤱敦㕣㍣戳晥㠵㕦㈴慡敦㌲㠱㕤ㅣ㔶㐷愳㠵ㄷ戰昱昹㠰敤㙢㔶㌸摦攰ぢ㉤㠲㈵〱昶づㄲ〰挶愵㥢〰ㅢ㘷〷昶㈷㤴㤶㜰㔱戶㙢挰戸㠲ㅢㄴ㔸昶搶敤攲昰ㄵ晦挱攳㤶戰攲敡捤ぢ搸搸㝣挰挶㤸ㄵ捥㌷昳㐲㈷挱㤲〰㝢ㅦ〹〰㡢攰㑢㠰敤㙥〷昶㔷㤴㤶戴㐱散ㅡ戰愸搵㈲摦㠸㙤㡥昴㡤摢攷㤶敢挳㥦㕦昹捣戶㤳㕦㑥㠴搵㕡戴昰〲㌶㌲ㅦ戰ㄱ㘶㠵昳㡤扢㔰〲㤶〴搸愷㐸〰ㄸㄷ㙥〲㉣㘸〷昶㜷㤴㤶㜰㐹昶敤㉥㈶㕣挷つ㝡㌱㌹㘴搵㠵㡦㝣㝡昰㙤攱㜷づ扦㌸昰晥愹㜷㠷㙦㥡摡戴敦扢㙦摤ㅢ㔶㕣换㜹〱昵攷〳㕡㘸㔶㌸摦慣ぢ㥤〶㑢〲昴㉢㈴〰昴っ㝣〹搰〲㍢搰㙦㔰㕡昲ㅤ㠸㕤ㅢ挱慤㔶㡢㝣㈳㘸㑤挹散ㄴ摤ㄱ㔶攷愲㠵ㄷ戰慦扥挸戳扡昸搲慣㜰扤㌱㜷㍥㉣つ昵挶㥣敤㕦ㄹ㉢挱〵挴ㅦ攳㔶㔴㜱㉣㕢捣㐵ㅢ戶㈴攳ㅤㅤ戲㥢㌷〲㉦戸愴昰敦㝣㉤挴㝢㕣㜸慤〵晦㡡慣戹㌱㠵昷扢昸扥㠰昵ち㠵㤶ㅣㅢ〷㘲㑢㔲㜸愷㘲㜸㙣㝥ㅡ敦摦㐵㡢昰敦ㄴ㘵㌲昸㤷㘷晦ㅤ摥㝥挱晥㙡㈱敥㠰㜰㘴摦㝢昱摣摡摣㠲敡㐱㕥㑣ㅡ攰挳晡攷扢ち昸㕥捣户㝢ㄵ㉦攰挷㉣戴ㅥㅣ㠹摡摥昴㉡㔴晦挴㄰㘷攳捤扤扥㙦愴捦搸㥦搱挳愱ㅦ㈸㠲攰扦扦㈳㔱っ㠸愰收扦㐷㉤て㕥㠹昰昹戹㉥㜶㠲攳㘶㌳〳戴㍥挷㍦挲㔵㕣㑣挴搶愱戸㉣攵㉣ちㄴ挳愶敤改戵摣摥㝤攲搹扢㤱散〶㝢㌷搰戳㤲摣㥥㈹㉥㙣搹㍢敢㔰㔷㕢晥㜶㠳愶晤愱㡦㕣㠷ㅦ㜸㍡ㅣ敤㜶㌸搶攱㤰ぢ捥ㅣ㠷㌷㔹づ昷ㅣ搴攱㥦㍤ㅤ敥敤㜶戸㡦挳㈱ㄷ㝥㌹づ㙦户ㅣ㡥ㅦ搴攱㕢㥥づ昷㜳㍢摣摦攱昰㑥愷㐳慥㘲㘴〸㈷つ敡昰ㄵ㑦㠷㤳摤づて㜲㌸攴㐲㈸〷攱㐳㤶挳㐳〶㜵昸㠲愷挳㈹㙥㠷㠷㌹ㅣ㜲㐱㤲攳㤰㜷昵㠲昰昰㐱ㅤ㍥攳改戰挲敤戰捡攱㤰ぢ㠳ㅣ㠷㑦㕡づ㙢〶㜵昸戸愷挳㍡户挳〶㠷挳愷㥤づ㜹㤷㉢〸愷㐳㌳敦㘹昸㤸愷扦ㄹ㙥㝦㘱㠷㍦摥㈷攷〰㝣搵昲搷〸㑤敦㉢搲捦㍤㥤㌵戹㥤捤㜱㌸攳扤㙢㡥㌳摥㄰ち戸㜹搰散㝦㈲㈹昷㠴扦摦搳摢㝣户户愳ㅤ摥㜸㐳㤹攳敤㝤换摢㈲㘸㝡㐳扢摢搳搹ㄲ户戳㘳ㅣ捥晥敡㜴挶㍢㈷㠱搶っ捤晣㤷戳摢㍣ㅤ慥㜰㍢㕣改㜰挸㥢慦ㅣ㜴扣㠳ㄱ㠷挷㐳㌳て㤷㌷㝢㝡㍢搱敤敤㈴㠷㌷摥〱搹扤昹昹晢戳搳㍦㡥っ摡㡥挶㙤㠴昹㝦㕥攰㍢戰㔳㍡昸晦㕤昰㝡愵㌲昷㤵攳ㄶ昸㔱晣㔵㤳㈸昹㙡㌳挱㡣攲㡦っ扢愱㈳㉣攵敦㡢攸戴㥡〹搱攱敦㠲攸戴戱㤴㍦〹愲ㄳ戵敢昰㔲㉥㍡〶㑢㜹ㄵㄷ㥤㤸㕤㠷㔷㕦搱㔹挳㔲㕥㜸㐵愷摤慥挳ぢ愶攸挴㔹㝡㤰愵㜳㡡㕤㠷搷㌸搱㔹换㔲㕥摥挴㑥㠷㕤㠷㤷㈵搱㐹戰㤴㔷㈴搱改戴敢昰㑡㈲㍡㐹㤶昲㈲㈲㍡敢散㍡㍣晢㐵㘷㍤㑢㜹攲㡢㑥捡慥挳㤳㔶㜴搲㉣攵昹㉡㍡ㄹ扢づ㑦㌵搱改㘲㈹捦㌲搱改戶敢昰っㄱ㥤つ㉣攵挹㈱㍡㍤㜶ㅤ㑥㙡搱搹挸㔲捥㘷搱搹㘴搷攱㔴ㄴ㥤捤㉣攵㉣ㄴ㥤㔳敤㍡㌲㈵㌰〱昴㘹㈸戵㡥㄰愷〶昳晡㜴㐸慥挵昰㈵㙤㜳戴㌸㌹㐴慢㌷慢㈵搳㠲慤㜲戴㌸㍤㐴慢㉦慢㈵ㄳ挳愵挵〹㈲㕡㕢戳㕡㙢昰攵昶挸㈹㈲㕡㘷㘶戵㘴㜲戸㙣㜱㤲㠸搶搹㔹㉤㤹ㅥ㉥㉤㑥ㄳ搱㍡㈷慢㈵ㄳ挴愵挵㠹㈲㕡攷㘵戵㘴㡡戸戴㌸㔵㐴敢㠲慣㤶㑣ㄲ㤷ㄶ㈷㡢㘸㙤换㙡挹㌴㜱㘹㜱扡㠸搶㐵㔹㉤㤹㈸㉥㉤㑥ㄸ搱扡㌸慢㈵㔳挵愵挵㈹㈳㕡㤷㘶戵㘴戲戸戴㌸㘹㐴敢昲慣㤶㑣ㄷ㤷ㄶ愷㡤㘸㕤㈱㕡㈱㙢㤰ㄵ攷㠸㉣昳っ㕣㄰戹搷㌲ぢ㙤昱㝥㤵敡戵㉡愲㡥ち捥〴㘹搱收愸攰攰㑢㐵慢愳㠲攳㉤ㄵㄱ㐷〵㠷㔸㉡㔶㍢㉡㌸慡㔲搱攲愸攰㐰㑡挵挹㡥ち㡥㥤㔴㥣攴愸攰㜰㐹挵㉡㐷〵㐷㐸㉡㑥㜴㔴㜰㔰愴攲〴㐷〵挷㐱㉡㡥㜷㔴㤰㝡愹㌸捥㔱㐱戶愵㘲㘵㙥㐵昱晦〰〶㡡〴㈳</t>
  </si>
  <si>
    <t>㜸〱捤㔹㕢㙣ㅣ搵ㄹ摥㔹敦慣㜷㜶搷昶挶〹㤷〴ち㠶㈶㠴攲戰㡤㐹㐲〲㈱㡡敤㜵散ㄸ㥣搸㠹㥤〴㑡愳㘵扣㝢㈶ㅥ㍣ㄷ㘷㘶搶昱㔶愸昴愱て㙤ㅦ晡挰㐳㈵㉡㈸〸㔵㤵㐰㤵㤰晡㔰㔵ㄵ㉦㔴㤵㡡慡昴つ愹敤㔳㉢㔴昵㡡㉡㔰㕦昲㠰㥡㝥摦㤹搹慢搷ㅢ㘳㔲挹㘷戵晦㥣晢攵扦㥦晦挴㤴㔸㉣㜶ㄳ㠹㕦愶〴㌳昷捥㔷晤㐰搸昹㠲㙢㔹愲ㄴ㤸慥攳攷挷㍣㑦慦捥㤸㝥搰㠳づ挹愲㠹㜶㕦㉤晡收㌷㐴慡戸㉡㍣ㅦ㥤搴㔸㉣㤵搲攲㘸攷㈴晣攷㙡〵㡤愳戲〹㠰㠵挲昸散攲㡢㤸㜵㍥㜰㍤㜱㘰攸㘲㌸昶挴挸㐸㝥㈴㝦昸攸挸攳昹㠳〷㠶ちㄵ㉢愸㜸攲㠴㈳㉡㠱愷㕢〷㠶收㉡㡢㤶㔹㝡㐶㔴ㄷ摣㘵攱㥣㄰㡢〷て㉤敡㠷㡦㡤ㅣ㍥㜲挴㜸攲㠹㘳㔹㉣ㅤ㍢㕢ㄸ㥦昳㠴攱摦慥㌹㤳㥣㜳戶㌰㥥㍦㉢㠲摢㌵㘷㉦收挴㤴ㄳ慥慤㥢捥㙤㥡㔴㈵㙥て㑤㠸㤲㐹㈲〸攱㤹捥㤵㍣戶摤㠲㘸㤴㡥收㈷㠱昱㤲敥〷〵㘱㔹攷㠵挱捤㘴㙤攲㑣㜸挲㈹〹扦摦㍥戵㔶ㄲ㔶搴散愷散㡢扡㜷㔶户㐵㠲㤹〱㍢愴摢㜴㔹㌸㠱ㄹ㔴晢散ぢ扥㌸慦㍢㔷〴扢愸昶㔴挵㉣㈷ㄲ㑡㈲ㄱ敢搹摦㘹㌳㤲㌶昹㐹慦㔴㔸搲扤㐰㤶㐸戵㤱㑥㝤㥢㌸㐴㙥扣㘵㕢攴愲愱戶㔱㈴搳扣㘹㍦㈳㍣㐷㔸㕣㠴挴ㅢ㙥敢㈴㜱ㄲ愲扥㡥㥣摡㘹㠸ぢ㈵ㄳ昱扤㍣ち㉡戴ㄴ㠱〶㤰㑣〳っ㥥扡㕡挱挱㠷㔶㜵慢㈲扥敡攳ㄸ㐲换戰㐷ㄶ㐰㐹晣〷㘲搴㍣〳㥢攲㐵㍤㕥㕣㡣ㄷ㑢昱㘲㌹㕥ㄴ昱愲ㄱ㉦㕥㠹ㄷ㤷攲㐵㌳㕥㝣㌱㕥㕣㐶㥦㕡㑡昵昶挶愳㜴攳㑦晦捤晣戴㥣㍤晤戳㘰㐷㜵㘵慣晣捦㙣㍦㍡㥤㡢㜶㌷攱改搷㐰攲〶昷㍣㤶㍦挸摦慤挵〶㔲㘳ㅣ㌱㡥ㅡ㈳㈳攵㈳〷昵㐳扡捡昳㙤㤶㔸扢搰㌷㙢㕣㌲㥤戲㝢㑤㔲㉦㙢㑣㥡㔶㈰㍣㔹ㄸ㌰昰〹㌹㔰㤶晢㡣㔳㙢㄰摤㔲㐸攸㕤㐶㐱㜸〱㔸㍥愸㌶愸㝦敦戸敥㡢㐶㜱㌸㥡㝢摣慤㌸㘵晦㥥捥㡤昳㠱ㅥ㠸㍤敤㙤㡤㐹搶つ㥢㠷㌸〸㕦㙥改扥昶㘱ㄷ㐹挷戱㌵㌳㙣晥㔲㕢㌳〴挳㕤摣戸㜵搲ㄳ㔷敢慤敢㜶㌴〶慤戹㉡攷㕥㜷捡戰㈹摣搷㔰㘱挹昵㠵㈳户㌷㙣捦㤹愵㘵攱捤ぢ敡㕣㔱㤶㐷扤㠳㑤㤱㜴づ捦㍡㌸㈸攴慤晣㘰㜳㉤ㄱ㉤㥣戲㈸㘳扦㉢挰㜲㜵㐱㕦戴挴㥤㉤㕤挲㌵搱戰扢愵㝡搲㉤㔵晣㠲敢〴㥥㙢戵戶㡣㤵㔷㜵㘸㠴昲ㄹ户㉣ㄲ㌲挵㐲愸挴㝡㝡ㄴ㈵昶㜰㈷搱攲摣㍥㠵慦㠹㐹㈸攲摤㍢㌷㌱ㄱ㍢㜷ㄴ摡晡捣挸㌴㌱ㄹ晢㝦愵敢㑥㥡㤹㤰扤て㜶敤摤㠱㐹㌹攸敥㔶挱换㥦〷㝤㐰〷㑢㔰㉡攳㝢㌷㥥戲挱㤷户搸㘹ㄳ㔵㘸㘲搹扢ぢ搲攴戴㜵摥晢晦㜶㡥挷㜷㐶愷㍦戵ち扤㝦㕡㜷捡㤶昰扡㍡〸ち㜷愴つ㄰攴〸㜶㄰っㄲ散〴㔰㍦㠶㥡摣㄰愳搴敤捡㥡㔲㔵慦㤹攵㘰㈹戹㈴捣㉢㑢〱敡攰㔸愴㔲㐴昷昷攱㔱昴挱戵ㄸ㐴捦ち昲㡡㜶〷㙡戵㍢〹敥〲㐸愷㘳挹扢昱㠵挶搶㜶昳戳〷㘰愰㘶昸㠶㐲捥㑣挷㔴㉡昵捦㙦㝡攸捥㘸搲搲挱ㄵ昱㔵ㅢ昳晡㍤㍤㥤戰㜱㕡昷㤷〲ち㘲搷㐶ㅥ㔷扢㠷攰㕥㠰散㤷〰捥㥥ㄶㄶ挴昸㜶㜹㌱㉡慤搰㉤慤㈵愹㜳愷㍤㕦㜵㑡㑢㥥敢挰愷㥢搰〳㝤慣〴㤷挰㔷昴愴㍤攳ㄶ㉡㐱搲㍥㙤攲㤳戵捦㡢ㄵ愱〷〵愸改愰捦㥥㠱㍢㈱昵攸㜴㜹㑤戵㐳㑦㘰㐲昸㈵㡤㉥挳㌴搴搲㕡ㄲ㌹攸搹慣㑤㐵㈳搶〲㑥摤㙢捦挱㜸㍡㠱㠶㑥挳㜲㔴㤸攳挸㍥㔹㔷ㅢ㥤㡥㑡㤸㈱㈷戳㑤戳㘴㘴㐵㌸㔳㡣愸㡣㐱㌳挵㝡ㄲㄱ㙣㤷愰ぢ㠱㘹昹昹〸扤昹〹ㄷ㉥愵㤰㕥㉤搱㥥㑣㠲挱㤲㕤㠹搵㉥攸昴㌹㘶㑢㡢攱戴搸捡㤴攷㔶㔶攸㜷摣慥㜹㌸㔷㑣扢て攰㡤㑦摦㌹扥敦昵㜷㙦㐶摦㤷㈱㐲㌲㘹㜴㑢㌴昲㍢㡢昸挸愴㍤㠰㑦扡㕢㥢㑡㡦愵愳愶摤挰㍤愲㐸㘷㙤㥣㜶挱ㄳ搲摦㑢挹㐲㜵㐵昴搹㤷㕣㙦㜹搱㜵㤷㐹晣㝥㔹昲㤷㠴〸攸㐴㘵㈲㥦㤱㜹㐵㔱㝡㝡㕡晣愳㈶㙦㡢敥㔷㜲ㅦ㐰摦㤸㘵つ搵㘶昴㤳て愱慡㠷敥摣㝥㘴昶捣㤸挵攷㘰㤶㤶㜴户㌸㌹㌶扦㔰〴改㠳挳昹㌵换㕦㔳晥㠰昳搳〱㝢昷搳攳昷㥢摡㜷㐶扦㝤昴敦㤷㌳ㅦ㝣昷㈱攵昷㔱㐳扢㑢愵㔲㐱戵戳㠸昴㄰敢挶愶挹㡣㔱昵㈴㡤ぢ㡥ㄹ昸ㄹ㘳慣ㄲ戸㤳㘶㌰攱〷㔹〳〰㔹㌹㘴㡦搴换㑤㠳㠶㡤㡢愶戸戶〰㈴摤扦扥〹捥㜳愱攲〷慥攴晥晢搶户㑦戸㘷摤㘰挲昴㔷㉣扤扡户㐳㜳搸㜲㘹㐹㌸㜰ㄴ㍣昸ぢ户敡攴慥慣㠸㜲㠷㍤捥扢ㄵ慦㈴愶㈷戶㠳慢愱㠴㘲ㅣ〳愷㐰㠸㤵㝤ㅢ㥢搶㈶扣㤳㌷攳攰㉥㘵㙢㤶㉡昹〸挶㉢㝢㘳摡㌰扥戸戵㉡戰㈱摡〱㘴㘱㑡㔴ㅡ戰敥㑣搲攴扥㔰搵愶つ㄰㌶慣敢㡢晣攳㘹挷㌷换㈲ㅤ㤵捥㤸㑥㝦㤴㥤慤〴㉤㉤晡摡捥愸〵㐲㌰敢㠰昸㈵摤㉢㙦〷扡攰㘰㐸㈱㔱㤴㈴㝥㕢㐳㜵㌸㑤㉣昶㐹㉤摣昰挹换搰㔳㡦愲㥡戸愶㥦搰㔱㈷搵〵ㄲ㤹㈶敦㡦〲摣㐷㜴搷慢㔳㉣㥤ㄱ扡㈳愹㌰ㅦ㤴㈷挴㙡扦散㈱挰攲戸戵㕡㘲㘷㙢㔱㥡㈶捤ㄸ㕢昴㕤慢ㄲ㠸晥㝡㑥㡡扡㘶㥣ㄷ㤶㑥㑦㍥㕢捦捤㤵〲摣㜵敡昳搱㑢摦㍥ㄴ〲㐶ㄲㄱ㤵ㄴ㐹愷㘴ㄷ收㙤㍤〴愵㘸㡢㔴㠵搱㌵㘴晡昷㐹攵㠷慦㌲扤㝤㌲㔶换愴㤹㘲㉡㍤㡣捤扢敡㤴愴㥤戵ㅢ㘴愸攳愴晡捡搶敡攸㈵昷ㄹ㔲昳攱㉡捣㠰挵〰㐵挷㐲㌴㈹㌰㑢扡㘵㔵晢㡤㘹愷㘴㔵捡㘲㐶㕦ㄴ㔶㑤㙢扢㥥扤㑤攸㈵〳㙤㈱慤扡攰㈵扡扦㑣㈳摡㔶扢ㄸ㙣㔹搱挵戴㍣搰㉡扤〵捣㤱搶づ愲㐴搲搰㉢晦摣昷㈲ㄹて㘹摣敡㘵ㅣ〸慡㙤戰扤㡡㍡㡤㍥㘲晤㙡㈵㈵慥愹摢㡣㍢攳攲摡㕢㙥慡㍡㙤㠶㔵摢㐶慥㈴㤹㤲挹攴㔶㑤㡣ㄴ㡥㥦㑣㡤〲搱㐸㥦扣晣搷㤹愷戴敡攵昷㑦搲搴㤰〲扣挲戴㝢㤷㑤慥㠸戴晥㔲〹搲ㅣつ㔰㠳㠵慥挳㠲ㄹ㔸㈲㘳挸㜶㤹㑦㔱㈴㠸捤㕥㘳㘱〹㥥摡㐴㥦㌱攵㤹㘵换㜴〴摤㄰㠴㘱ㄸ㝢㥢ㄱ㔷㄰㌰㤸㜳㝤㤳愱摤㍥㘳挱搳ㅤ㝦㠵づ㜹愹㍡搸㔲㤲挴㔲㡤㜱搳㠱〰㠵㙢㌲㍦㘰捣㉦戹搷㄰ㅤ慥搸捥㤴扥攲㙦ぢ㐲㐱ぢ㐵㈹㤴慡戸ㄲ㡦㉢愹㜸㙡慢戶㑡晡捦㜴〸㘲㡦㘱摥㌸㐱㐴㉥㕥㌶扢挸㉣㈹ㄵ㠵㙣㈸戳摣㔷㑢㤴戵攳㝤戱ㅥ㕥愷ㅥ搶戸㔸昶㄰挰搳㔳ㄷ愶ㅢ㠱扥㉦ㄴ㈳㔷㜹㍤敥㘲づ㈴㙢搴愳ち㘴挹晥㤰㕤㔸㐷敥搱㈴搵㔹㙡㘷挱戴㈱晢㤰ㅢ㘱㐱搹㥤搹㐹摣昷戲㄰㝥愸㕦摣㤳愱㜷晢挳〲㥤㍡㕢户晣愸慤攰摡戶㑥昶㈲㙢捥㐳㜷㡢㤴昴戰愱㑤㌴〳㐰昲㘰㔴愵慦愱㑡㕦㤳㔵㌰挹㡣ㄴ捡㍣攷㜲慦攸㥥ㄹ㉣搹㘶㈹挵〲愳㜹摢㠲㉦挱㐲昲㙥ち㠴㌲㐹收㠴扢摡㝥㈷て慦㤱㈰㜷ㅥ㌷〸愲㡥攴〷昷挶愵ㅤ㔷戶ㄸ㠶〱晢㙡昴㙦戵㈳〰慡㝣㡤攱敤㤸愹挹〹㐳㡤㔴㐴ち㈳㈶㙣搶ㅥ㡦㌲㉣㈴ㄸ愰攸㝡㌳收敤㉤㍤攳敡攵㐹〴㝣㕤慦㌷㝡搳㐹㠱戴㔴㉢㕥㡥搱㤰〲㐲㠹〸㔱慥挲ㄷ昶㔲慣㤸㐷㥣㈱挱㌸㑡㌲愴㈱㜱ㄳ㔳搵㑣慡搳㕡搳戵戹昶㐶户挶收户愹改㜵昳㝦㝣敥搸㐹㙣ち挷攲攳㠸㜶㤴攰ㄸ㠰挲㌸ぢ捦搳搶攱〹㜶㜸ㄲ㐰攵㜵扢㕤㑡㌶㡣ㅣ㜰㜲搵㘶㐴㈳㘵昳㌸㜰㌹㤲㠸㜳㈰㌲〲㤴㈴㌳㈹㐶ㄶ戴攳〰扦扢㝥晤〴㍥㌱攵〱㠰摡晡昲扥㤰㈶昲戴愷〸搸㐳攵㉤㘴㜳昷ㅥづ捣㌵㕤㐶㈹愳晥づ攳㕣㐵户昰㑡㌱ぢ㝦㈸㘰搵㜶㄰㠲㐴攸㤵戶㍦㌵戴扥摡攰㑡㈷㡦昰晣㘵〶㍥摡㜱搰摡㌷㍡㥢捦㥥㕢昳㕡搳敡慦㄰ㄹ搸摣㉡㤴㠲摥㔵㐶戱㡡㐵㐴㜷㔰㈲攱搳ㅡ㔹っ昶㕢攱㙤㔱㡡捤㈸㌲戵愴昰㕥戳慥㔶愵て搶挵㜸戴㌹㝣ㅣ扦戳挱敡㔴㙡挳ㄶㅦ㘱㍢挹㐸慢つㄹ攳昲昴昱搶敤㐱愱㜹㤱戵㠵㈸㈳昹㤸㉡攲㤶㕡㠹慡っ㔷㔹攸愷昹愰㙡挱㈶㌰换挸㑦㤸愳㄰㠴捤搸戴敢挱挹㑤戴挷㝡敢㘳ㄹ㔳挹散㙡㡢慤换㘱㙣愱晡㔳摦〳㠹㌶ㅣ捦ㄳ㌴愸挲㌱㑣挹㔳〰扢捥㤸㈵捦昵㕤㈳ㄸ㥡㠷㙦㌳挴搷ㄶ〳㕥敥㤸晡㑢捣搸㜱㑤ㅥ㉣攱昰㈵㔳ㄲ㍡扤散戸搷ㅣ戹ㅢ搵攷愳㤳挴㔷㙦㉦㤷愱敦㉢搳㤷㠱挵ㅣ㔵㈵〷㙢㔳〰㝤㍤㌹敡ㅡ愶ㅣ昵つ㔳㡥捡㠵㈹㐷〵挳㌴㐰㤵挰㔹挸㑡户㌵攵愸㐸㐸捤攴㘹㠰㙣㘱扣㈸㜵敢㜹㍣捣㈴愷㔱戳〳㌵慤捦戸挹愷㔱摤㡦敡㈶户㈵㐷㑤挴㔹攴摢愷㌶挳ㅣ㥦ちㄵ㌲扣㐴挴㔹㘴搸㠱晦摣㈸〰㤳㌲㐶㠰扦㌶ち挰挴㐲慥〰㈰ㄱ㌴㠷㑣㕦㡦㑡㍣ㅤ摦㌸戲搳戴㡦㘱㐸㐳换搳搶㈹㍣㔵㔵㘹挵㝡㘰㌷㔴㜹戴㐴晣挹慤捤㐵㕤㐳㘷㑢晥摦〵㕢㝣㠱㜹㜸捥〶㉢㜲挶晢昱搷捥〳㈸挴㕥㤶愵㝤〴てㄱ散〷㔰摥挱㤲ㅤ㈳㤶㙦㐷つ敤ㄱ换ㅣ㤱㉥ㄱ昹㉣㈷㜹㡥攰㙢〰㘹㤵㠸㝤㘴㘳㉣㠴㥥㔵攳㈱㤴㠱ㄳ搵愰搰㘶㡣昰ㅤ㤲戸㤰〱㉡㑢㜲㝣ㄶ㑥㤶㠷愷挸ㄹ摣ㅢ攰㕡攱㘱㍤攲ㄹ摣㈷㘸散㙡㘶㕣㤳㈵づ㑥ㅡ戳ㅥ散㝡慦㌱敤攳㜶㔲㑥㈱扥ㅦ攰㘹搸搹づ挶〷㍡㈸㐱㥥〱搷㌰慡ㄸ敦㈸晥㤴敢㜶戳摦㜴〵㙢攰愳㜶つ㡦搳㌷摢㥡改㐹㍥㡦挵ㅡ㙦㔲㔲摦昸㜱攵挷愰㍢搵㔳晡㕦㡦敤扥挹敤挲晦㡢㘹㤷昱㤱㕣愳挸㌳攰捡愸ㄵ㔹挵愰扦〴㌱㤵㙣搶㝥㈸㉡攲㐹㡥㘸㝢㐹换㘴㜸搲户㑦晥㘳昴㥢愳摦ㅢ㔳挸㐹㤴㐷攵つ㉣㑣㈱愰晥㐸挵㤳ち戹㑢㌶晣㈸㙡愰㑡㐸挱㙦㈵挷挹㠶搷愳〶敡〴慤っ愰㜲慢㥢挶㈱㐵㘶㡢㤶㑤㘰愸㐲㈴㐸㕤〳扤㉥㌳㉣っ㜰ㅦ㤷昰㡦慦㈹愵ㄷ捡㉦扣㜰㘳㈰㌱戴㈷昱散㘸昶搵㍦晦昶愳㔷㍥晣晡㠹扦㝤昶摡㙢ㅦ晥攵㤵敢㥦扤户㜸攲㌷㙦扤昵敢愷摦戸晥搱愰昱㘶晣攷㌷㘶摥㝣㘹㘴昹愵慢挶㠵㐷愶㕥㝡敥挵㜳㈳㜳㍢㠶㝢㝡㝡㝢昷敦晣攰敥㠷㜳摦扡晡ぢ攵晤㍦摥攵㈸㜲㙤㉣愰㕤〱攰㤲㡣㕡收戸〷㈹㤹㑢挸挰〶戰㔱㤶㑤㔹㔶㔸㉤㤱昶㠳〸㘹攳愸㐸㈹㡡捡昶㉥㌷晦〶摢㔱晤㙡㌶愳㡤㘴挰戴㝤捡愹㠴敦㙡㐹㥢㜷㜱㘷㐷攴㌸っ搷晢っ搶㙢敡㝤晢敢㔵㜲捣敥搰愷收㉢㈵扢っ㌷㈶扤愳扤㐵昶挷㠹㜸愸搸㠳ㅢ慢㥡摡〶愹〲㔳捡愶㍢愶挲㌷攳㘵㡥挲㕦搱敡㌹㔹㔴㔹摣挴㘴㕦㠰愷㉣㉥㉢〱㌲㥡捤㔲昴捦戱㈰㠹改㈰〳晢挵捦愳ㅢ愳愰ㅥ改㤲㌱㌱㥦ㄸ愱愹敦戳挳昸㠹㌴㕡㜸㍡㤶昵つ㡣㐷㘴ㅣ㘴昵㜰㑢搷㜴㔸㐵㌸㄰㘶敢昴捣㐴㑤㘴㠰捦㑢捣㕥ㅣ㠹㝦戸ち昷㙤㝣ㄸ㉥㄰搲㜲㜳扤㈲㐲扡㤸㔶㝡㐹㡡搶挸㜲㉤㘵㠰㘵敡愵㘴㙢㔰散挶捤捣晦〰㉦㠹㔰㈱</t>
  </si>
  <si>
    <t>㜸〱捤㔸㑤㙣ㅢ㐵ㄴ昶慥扤敢㕤摢㘹搳晦晦㌶愰㔲㕡ㄲ摣戸㑤攸ㅦ㔵敢㥦晣㐱㥡愴戵㥢㠸〳㕡慤扤戳昱㌶晢攳捥慣㥤戸㐸㥣㝡〰㈴づ㤵㄰㌷㈴㉥㈰愸㄰㐸ㄴ㈱㜱攱摣ぢ㈰㜱〶愱㜲㠱㈲㉥㕣㄰ㄲㄲ昰摥慣㥤晡慦戴つ㐱敡㈴ㅥ捦捣㥢㜹昳收捤㝢摦㝢攳㤰㄰ち㠵晥㠶㠲摦㔸㈲搸搸㥢慦㌳㥦㌸挹慣㘷摢愴攴㕢㥥换㤲㘹㑡昵晡戴挵晣㌰㑣㤰㌵ぢ攸㑣搲㤸㜵㡤㈸㕡㡤㔰〶㤳愴㔰㐸㔱㔴ㄱ攸挸〴㍦晤捤㡥㡡慢ㄲㄱ愸ち搹捣㙣昱ち㜰捤晢ㅥ㈵㐳〳昳挱摡戳愹㔴㌲㤵ㅣ㌹㤱㝡㉥㌹㍣㌴㤰慤摡㝥㤵㤲戳㉥愹晡㔴户㠷〶收慡㐵摢㉡扤㐸敡〵㙦㠹戸㘷㐹㜱昸㜸㔱ㅦ㌹㤹ㅡㄹㅤ㌵㑦㥤㍡㤹㠰慤㐳㜳搹捣㈴戱㉢挰㙦扤戸捡挰㜵㈶㥢㤹愳挴㕣㉦㥥ㄲ㉡㈲㤵㈳㈵ぢ㌵㐶〸戵摣挵㘴㌶〳晦㉤㕡㠱摥㠹攴㙣㍥㑦㕣㘶昹㔶捤昲敢㜸㍥搵㤹㉤ㄵ攷㜵扢㑡㘴㠷㡢愴㌸昳㍡㥤搱ㅤ搲攷㕣㘶攴㤲敥㉥ㄲ散㐹捥㐴搵㌲㈲㜰㤳攱㈳扤㌶㙡㈸㈹㌹㥢捤㘴换㍡昵㌹㑢摣攰㘸慦搹㝣愷㘴㡢㈸㝣つㅦ㐵昵〸昱㠶慤昰㍤㔱捡㈸㔶ち㔴戲ち搵㤶㤶㤵〳㝣改㐰㑡㠸晣づㄶ搷扡㌰づ㌳㐵㑤ㄷ戵愲愸㤵㐴捤㄰㌵㈲㙡愶愸㉤㡡㕡㔹搴㉣㔱扢㈲㙡㑢㌰愷㔹㤴㘸㔴㙣㤴㥢㍢㍦㝢敦㐶改昹昴攷㘳戵搳㙦扤昹昶㑦〹攴㌵〳㘷㑢捥㄰㝦㥤っ㐱挲㌳㍤扣㉥ㄳ㌰㕢㜲㠲慢挸ㄱ㔶㔲昱㥥愶㕣㠳慣挸搰㠲晢㑢㌸㔹捦昵挹㡡㥦搳㝤㍤敡捣改㤴戸扥ち㤳〶昹慡愰㠵㉢晢昸㔸㜳㜵慣搱〳づ晤扣搹挲㈵捥〷〲㑥〲戸㕥㌸ㄲ搴㡡摣换㤹㈷㜵㔶昶昵愲㑤づ㜶㕣㌹敡つ慣散戲㙦搹㉣〹㉣㈷愸㔷慤愰㐶搷㡢て㌷㘴㌴っ戹て㉡づ㍤昸つㅢ㥣㔷㌷挰㔷㑣㐵愲㡡㐴㠴㈵昸㠲搲愴㈵㌶㐳〷㐴捣㜹㡥㙥戹敢㜴戹㠹㉤挰昴㘲挳㡡㜳㔴㕦〶㡦扣挷晡㔸㜲ㄸ晦ㅥっ㐹㠰㐸收愸㜹挲㑣愵㡣搱㘱晤戸㉥愱ぢ㍣慡㐷㙤㠵㌵〹㘷挱㜲つ㙦㤹扢搸㘶〷晣㠷扢㑤愱㕥㈱㝣㈸㘱ㄶ㜴扡㐸挰㙤改㔴㙥慢㤹昵㈸㈵戶敥ㄳ㠳て㈰㐲敦㘸ㅦ㘴攳搴㜳㜰㝣㙦㐶㘷攴㥥晢づ㥡挱㐶ㄹ慦敡ㅡ㙣㑦㙦㘲摥〷搶扢㍢㘹昷㤸㜴㉤换〳愴ㄱ挶㈵摤摦戹㡣ㅢ㝦㝡挵ち挸晢㍡挸〰㙡㕥昱晥搴㜱㑡慥慥㔲扢㈴㑡㐳㤸慡ㄱ愴㜷㥤㌲㈰〵㜲〱〴㜹㡣戸㕣扣㐱㘷捥㉡㉤ㄱ㥡㈷ㄸ攴㠸挱㡦扡つ㐹〴晣戱㐴搸攰㉣慡ㅥ㔰搵㜸戲㜵搴ㅣ㕢昱〹㜸戳〱昲㐲戴昱敢〵昴愴敤㙤㔳㠲㍤㠱戰慢㙤㜸摣㉢㔵ㄹ㝡㉤昵散㜶㑡摡愸改戰愷㜱挱㌳㐸㈴㈲㠶㐳㤱㔰〴ぢ㠴搱㜰ㄸ㕣㜹戸挳㔱㜹挸㐰摥慣ㄵ㥢㕢㉣〷挱昹昸㐳㉤㙡㌷㉦㕣搷ぢ㌲㔶攳扦戰戳摤㔷㤲㤷㐰㝢愰㈵㥢愰㈳㠹㥤㠸搲㈲攸㍤慢挱㑤㝡攲㘹㜰愲ㄶ㥤愱摤攲散挳昷㍦ち㘷扢㙡ㄹ晦敦㘴㔱摣搲㌸晤㔸つ㌰㝢㔲㜷つ㥢搰㝦搷ㄷ㑡愴愲㘷慢摢戰摡づ㔵㉣㈴摤〵㜴扢慦㈶㌱㔱ㄲ㔶㠴扡戴㙣ㄹ㝥㔹㉥ㄳ㙢戱散挳ㄸ攴㔷㡡㠲㙡ㅥ㠶捦㙤昸扣ぢ〹搶㌲㈶㔹敡㑥慣㜶㐱ㄵ㡢挵〲晣㤴㘳敡ㅥ摥て㐵㄰㔹㝢〹戹ㅡ〷㌰挰挵愶㍤摤ㄸ搷㑢㤰㤷㐵ㅢ㔹㤹㤲昵㥣ち㐴㈷摡㡦㌳戳㘰㥢㘰昳㌵换㈰㔴挱㠱㍣㘴㝦ㄱ㐸捡㤸捣㍤㥢㐱搸〹㠷㈴㈹慥昴摡㙢慡挹敢㘰㐳㠳慤搹攵㔴ㄷ晦㕦㉦㥥㍣㠷〷㡢挵㌰㘳㔲昷㘲戵て㉡〹㌵昹挸摥戰ㄱㄶ㙤㜷昲㘵㙦㜹ㄲ㔴㐹㔸㤰昴戰㉣戵晣ㅤ摤挳㄰㐶㜵㘷ㄷㅦ㥦愰〴〰㤰ㄶ〰〷昸ㄹ㜱挵敥㥥ㄴ扥㘸㌷㌷挶ㄶ㌷ㅣ㌴攷㉤戲㡣攰㝤愰㥢〴㔹㕢戶捡㝣㡦㐷晤晤摤昴㥣㌷攳昹㌹㡢㔵㙣扤㝥戰〷㌹愰㉣㤴㠹ぢ搸㐵〱挲ㅥ㌴挹慢㔴㠸搱㐳挶扣㔷愵㈵㌲㤵㝢ㅣ搰て㙥㉡㈸〲〷㍥㐱ㄱ㘴㔱㠰戲㌶挷ㄳ搰㈵㐲慦㙣晤㜸攲捥戵敢攷㘴㠰㔳〱ㅣ〴㕣㐴㐲㘷㕣ぢ㐰㘲㝥搲搷ㄶ㤶户㘱晡㝤〱㥥㉣㔶挵㈶ㄹ㥤㠲㘱㝢㤴愹㑥戳ㄹㄸ㕥㑢㈲ㅣ㜸换攳愰㙣㠸㌲㐱㝣㐹摥ㅦ㕦㕢〴攷㌶㠸挶㡣㤸㈶㙣敤〸〴晣摣㠸㑥㙢扣㉢改㐷挰挴㐷ㄴ〴㕦㤹搱ㅡ㈶搵㥡〶㐹㉡昴戰〸搲ㅤ㘰搵㔳㍥㠴搶㠸㡢捦㈴扥㉡戶攴㝡换㉥㤷㕣㘲㤸敢㈰㐳㌵ㅡ挵㘳挴攰挳换㘸搳㙣㐲ㄲ愲昷㘰㉦㕤〵㌹改敡㍢㙥捡㠰昰搰㜸戸㈵昰攱㔶愰㠴扦捥ㄴ摥〱ㄵ昶㌹ぢㅥ㕤㉡㝡摥ㄲ扥ㄴ㌶昰ㅥ㉢ㄳ攲攳㑢㉡敥〴捦㐱㙣㠳敤㠷挳㙤慦愵㠶摥㤱㠸ㄹ㌱捦㤶攵㈷愰ㄵㅥ愷㈵摥ㄳ扥㠷昳攳㉢敢㤳摦捥ㅣ戰搴搷捥㕦㍦昱昳换昱摢慦ㅦㄲ扥㙢㄰晥昸攱慦昸㐷㐶㘲昲㔳㝦㔳扤㤲㌶㝥㤱㌰㠰㍣㔴昰敥㠷㠹ㅢ捤㔵散㉡㔸扥㑤攲㘶㘰ㅡ搸㔶㑣㐰㈳㐸慣㡣愸㔹㈸挳愹㜳㝤收〴戵っ摢㜲〹㥡づ愴慣昸敡㥣㈶㡢㤰㐴捤㜹昸挲昵摣㍥戳㐰㜵㤷㘱慣㜱㑢昵捤㙤㍤敥㉤㤲㤹戱㕣〶摢㜰扣挴昶㐶ㄳ攱ㅣ㙥慥敡戸ㄳ㝡㠵㍤づ敥挴㝦昴〰昵㐰〹挰㑢ㄴ㐴㔱㔰㐴㘵㡤ㅥㄱ㤲㥦〲㔶〷㕡㍣昰昴挰搸搵㉡搸搵〰户摥愳っ㔴㐹㈰敢ㄲ㌹捥㠹挷㜰攷〰摥㄰昷ㅥ㍥挵㐲慢㑦昰㕦ㄵㅡ戹㙦戸㔷〸㕦捤〱㜹㑡㜳〸搶〸㤸㘱㜰㤷㜹扡搱挰㑥㍦㐶㙢っ摥昲㘱愸㌶㘵㌳㕡㘰捤㑤愷㤰㡦挰昰〶ㄸ㙥㐹昴晡㌱戸昳㑣收ㄹ㘸昰ㅦ㄰〴扥〳昶㠶愰㙡㤶㝥摣〹扤㔸㝤ㄶ慡扥戰㠰昳搱㉤攵㈴昶搳戶㍤搰㜴㉣㈶ㅦ挵愱戶ㅦ㍡㘴㑣㥤㜶㑦㕢摡㑢㤰㙦㤷㜵㑦ㅢ㑦攷ぢㅡ〴㙦㝦㈴戹㘲戳ㄵ攱㥢㠶㠳摣㕣戸㜱敢㥤㉦晦㝣攱ぢ㐹㜹晦搸〷户扥ㄵ扥㙥ㄲ㍡㝥㜱攸㙦㑡㈷愱㐰㘷㝡㠱㐳㔷㕡㍢搸昹㠶ㄸ㠳㌷㐱ㅤ㡦ㅦ㠶㝣㑡攲㈶ㅦㄱ㑦慦㡤㔷ㄳ愰昱㤶愴慦㐰敡晦挰〷慦戳ㅤ㕦て挰㠸㍡㠲慣戱敡挴㔸㑣〹挷昱ㅣㅤ愹㙢㍣㡥㠸晡攱戹扢攷㕦㍤晦㐶㍡晥て〷㡡㝤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</si>
</sst>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3" formatCode="_(* #,##0.00_);_(* \(#,##0.00\);_(* &quot;-&quot;??_);_(@_)"/>
    <numFmt numFmtId="164" formatCode="_ &quot;¥&quot;* #,##0.00_ ;_ &quot;¥&quot;* \-#,##0.00_ ;_ &quot;¥&quot;* &quot;-&quot;??_ ;_ @_ "/>
    <numFmt numFmtId="165" formatCode="_ * #,##0.00_ ;_ * \-#,##0.00_ ;_ * &quot;-&quot;??_ ;_ @_ "/>
    <numFmt numFmtId="166" formatCode="\$#,##0.00_);[Red]\(\$#,##0.00\)"/>
    <numFmt numFmtId="167" formatCode="mmm\-dd\-yyyy"/>
    <numFmt numFmtId="168" formatCode="_(* #,##0.0_);_(* \(#,##0.0\)_)\ ;_(* 0_)"/>
    <numFmt numFmtId="169" formatCode="_(\$#,##0.0#_);_(\(\$#,##0.0#\)_);_(\$&quot; - &quot;_)"/>
    <numFmt numFmtId="170" formatCode="_(* #,##0_);_(* \(#,##0\)_)\ ;_(* 0_)"/>
    <numFmt numFmtId="171" formatCode="_(* #,##0.0#_);_(* \(#,##0.0#\)_)\ ;_(* 0_)"/>
    <numFmt numFmtId="172" formatCode="_(#,##0.0%_);_(\(#,##0.0%\)_);_(#,##0.0%_)"/>
    <numFmt numFmtId="173" formatCode="_(* #,##0.0##_);_(* \(#,##0.0##\)_)\ ;_(* 0_)"/>
    <numFmt numFmtId="174" formatCode="_(* #,##0.0_);_(* \(#,##0.0\);_(* &quot;-&quot;?_);_(@_)"/>
    <numFmt numFmtId="175" formatCode="0.0"/>
    <numFmt numFmtId="176" formatCode="0.0_ "/>
    <numFmt numFmtId="177" formatCode="0.0%"/>
    <numFmt numFmtId="178" formatCode="#,##0%_);\(#,##0%\)"/>
    <numFmt numFmtId="179" formatCode="_(* #,##0.0_);_(* \(#,##0.0\);_(* &quot;-&quot;??_);_(@_)"/>
    <numFmt numFmtId="180" formatCode="_(* #,##0.00_);_(* \(#,##0.00\)_)\ ;_(* 0.0_)"/>
    <numFmt numFmtId="181" formatCode="_(* #,##0.00_);_(* \(#,##0.00\);_(* &quot;-&quot;?_);_(@_)"/>
    <numFmt numFmtId="182" formatCode="0.00_);[Red]\(0.00\)"/>
    <numFmt numFmtId="183" formatCode="0_);[Red]\(0\)"/>
  </numFmts>
  <fonts count="38">
    <font>
      <sz val="11"/>
      <color theme="1"/>
      <name val="Calibri"/>
      <family val="2"/>
      <scheme val="minor"/>
    </font>
    <font>
      <sz val="8"/>
      <name val="Arial"/>
      <family val="2"/>
    </font>
    <font>
      <sz val="9"/>
      <name val="Calibri"/>
      <family val="3"/>
      <charset val="134"/>
      <scheme val="minor"/>
    </font>
    <font>
      <b/>
      <sz val="13"/>
      <color indexed="8"/>
      <name val="Verdana"/>
      <family val="2"/>
    </font>
    <font>
      <i/>
      <sz val="8"/>
      <name val="Arial"/>
      <family val="2"/>
    </font>
    <font>
      <b/>
      <sz val="8"/>
      <name val="Arial"/>
      <family val="2"/>
    </font>
    <font>
      <sz val="8"/>
      <color indexed="8"/>
      <name val="Arial"/>
      <family val="2"/>
    </font>
    <font>
      <b/>
      <sz val="8"/>
      <color indexed="9"/>
      <name val="Verdana"/>
      <family val="2"/>
    </font>
    <font>
      <b/>
      <sz val="8"/>
      <color indexed="8"/>
      <name val="Arial"/>
      <family val="2"/>
    </font>
    <font>
      <b/>
      <i/>
      <sz val="8"/>
      <color indexed="8"/>
      <name val="Arial"/>
      <family val="2"/>
    </font>
    <font>
      <b/>
      <u val="double"/>
      <sz val="8"/>
      <color indexed="8"/>
      <name val="Arial"/>
      <family val="2"/>
    </font>
    <font>
      <b/>
      <u/>
      <sz val="8"/>
      <color indexed="8"/>
      <name val="Arial"/>
      <family val="2"/>
    </font>
    <font>
      <sz val="1"/>
      <color indexed="9"/>
      <name val="Symbol"/>
      <family val="1"/>
      <charset val="2"/>
    </font>
    <font>
      <sz val="11"/>
      <color theme="1"/>
      <name val="Calibri"/>
      <family val="2"/>
      <scheme val="minor"/>
    </font>
    <font>
      <sz val="10"/>
      <name val="Arial"/>
      <family val="2"/>
    </font>
    <font>
      <b/>
      <sz val="10"/>
      <name val="Arial"/>
      <family val="2"/>
    </font>
    <font>
      <sz val="9"/>
      <name val="宋体"/>
      <family val="3"/>
      <charset val="134"/>
    </font>
    <font>
      <sz val="10"/>
      <color indexed="8"/>
      <name val="Arial"/>
      <family val="2"/>
    </font>
    <font>
      <b/>
      <sz val="10"/>
      <color indexed="8"/>
      <name val="Arial"/>
      <family val="2"/>
    </font>
    <font>
      <b/>
      <u val="double"/>
      <sz val="10"/>
      <color indexed="8"/>
      <name val="Arial"/>
      <family val="2"/>
    </font>
    <font>
      <b/>
      <u val="doubleAccounting"/>
      <sz val="10"/>
      <color indexed="8"/>
      <name val="Arial"/>
      <family val="2"/>
    </font>
    <font>
      <i/>
      <sz val="10"/>
      <name val="Arial"/>
      <family val="2"/>
    </font>
    <font>
      <sz val="9"/>
      <name val="Arial"/>
      <family val="2"/>
    </font>
    <font>
      <sz val="9"/>
      <color rgb="FF000000"/>
      <name val="Arial"/>
      <family val="2"/>
    </font>
    <font>
      <i/>
      <sz val="10"/>
      <color theme="1"/>
      <name val="Arial"/>
      <family val="2"/>
    </font>
    <font>
      <b/>
      <sz val="12"/>
      <name val="Arial"/>
      <family val="2"/>
    </font>
    <font>
      <sz val="9"/>
      <color indexed="81"/>
      <name val="宋体"/>
      <family val="3"/>
      <charset val="134"/>
    </font>
    <font>
      <b/>
      <sz val="9"/>
      <color indexed="81"/>
      <name val="宋体"/>
      <family val="3"/>
      <charset val="134"/>
    </font>
    <font>
      <sz val="11"/>
      <color theme="1"/>
      <name val="Arial"/>
      <family val="2"/>
    </font>
    <font>
      <b/>
      <sz val="9"/>
      <color rgb="FF000000"/>
      <name val="宋体"/>
      <family val="3"/>
      <charset val="134"/>
    </font>
    <font>
      <sz val="9"/>
      <color rgb="FF000000"/>
      <name val="宋体"/>
      <family val="3"/>
      <charset val="134"/>
    </font>
    <font>
      <b/>
      <sz val="11"/>
      <color theme="1"/>
      <name val="Calibri"/>
      <family val="2"/>
      <scheme val="minor"/>
    </font>
    <font>
      <sz val="9"/>
      <color rgb="FF000000"/>
      <name val="宋体"/>
      <charset val="134"/>
    </font>
    <font>
      <b/>
      <sz val="9"/>
      <color rgb="FF000000"/>
      <name val="宋体"/>
      <charset val="134"/>
    </font>
    <font>
      <sz val="9"/>
      <color indexed="81"/>
      <name val="宋体"/>
      <charset val="134"/>
    </font>
    <font>
      <b/>
      <sz val="9"/>
      <color indexed="81"/>
      <name val="宋体"/>
      <charset val="134"/>
    </font>
    <font>
      <sz val="9"/>
      <color indexed="81"/>
      <name val="Tahoma"/>
      <family val="2"/>
    </font>
    <font>
      <b/>
      <sz val="9"/>
      <color indexed="81"/>
      <name val="Tahoma"/>
      <family val="2"/>
    </font>
  </fonts>
  <fills count="13">
    <fill>
      <patternFill patternType="none"/>
    </fill>
    <fill>
      <patternFill patternType="gray125"/>
    </fill>
    <fill>
      <patternFill patternType="solid">
        <fgColor indexed="5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mediumGray">
        <bgColor rgb="FF00FF00"/>
      </patternFill>
    </fill>
    <fill>
      <patternFill patternType="gray0625">
        <bgColor rgb="FF00FFFF"/>
      </patternFill>
    </fill>
  </fills>
  <borders count="17">
    <border>
      <left/>
      <right/>
      <top/>
      <bottom/>
      <diagonal/>
    </border>
    <border>
      <left/>
      <right/>
      <top style="thin">
        <color indexed="8"/>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s>
  <cellStyleXfs count="7">
    <xf numFmtId="0" fontId="0" fillId="0" borderId="0"/>
    <xf numFmtId="0" fontId="12" fillId="0" borderId="0" applyAlignment="0"/>
    <xf numFmtId="165" fontId="13" fillId="0" borderId="0" applyFont="0" applyFill="0" applyBorder="0" applyAlignment="0" applyProtection="0">
      <alignment vertical="center"/>
    </xf>
    <xf numFmtId="9" fontId="13" fillId="0" borderId="0" applyFont="0" applyFill="0" applyBorder="0" applyAlignment="0" applyProtection="0">
      <alignment vertical="center"/>
    </xf>
    <xf numFmtId="164" fontId="13" fillId="0" borderId="0" applyFont="0" applyFill="0" applyBorder="0" applyAlignment="0" applyProtection="0">
      <alignment vertical="center"/>
    </xf>
    <xf numFmtId="0" fontId="14" fillId="0" borderId="0"/>
    <xf numFmtId="9" fontId="14" fillId="0" borderId="0" applyFont="0" applyFill="0" applyBorder="0" applyAlignment="0" applyProtection="0"/>
  </cellStyleXfs>
  <cellXfs count="225">
    <xf numFmtId="0" fontId="0" fillId="0" borderId="0" xfId="0"/>
    <xf numFmtId="0" fontId="1" fillId="0" borderId="0" xfId="0" applyFont="1"/>
    <xf numFmtId="0" fontId="3" fillId="0" borderId="0" xfId="0" applyFont="1"/>
    <xf numFmtId="0" fontId="4" fillId="0" borderId="0" xfId="0" applyFont="1" applyAlignment="1">
      <alignment wrapText="1"/>
    </xf>
    <xf numFmtId="0" fontId="5" fillId="0" borderId="0" xfId="0" applyFont="1"/>
    <xf numFmtId="0" fontId="6" fillId="0" borderId="0" xfId="0" applyFont="1" applyAlignment="1">
      <alignment horizontal="left" vertical="top"/>
    </xf>
    <xf numFmtId="49" fontId="1" fillId="0" borderId="0" xfId="0" applyNumberFormat="1" applyFont="1"/>
    <xf numFmtId="0" fontId="7" fillId="2" borderId="0" xfId="0" applyFont="1" applyFill="1"/>
    <xf numFmtId="0" fontId="8" fillId="0" borderId="0" xfId="0" applyFont="1" applyAlignment="1">
      <alignment horizontal="left" vertical="top"/>
    </xf>
    <xf numFmtId="168" fontId="6" fillId="0" borderId="0" xfId="0" applyNumberFormat="1" applyFont="1" applyAlignment="1">
      <alignment horizontal="right" vertical="top" wrapText="1"/>
    </xf>
    <xf numFmtId="168" fontId="8" fillId="0" borderId="1" xfId="0" applyNumberFormat="1" applyFont="1" applyBorder="1" applyAlignment="1">
      <alignment horizontal="right" vertical="top" wrapText="1"/>
    </xf>
    <xf numFmtId="168" fontId="10" fillId="0" borderId="1" xfId="0" applyNumberFormat="1" applyFont="1" applyBorder="1" applyAlignment="1">
      <alignment horizontal="right" vertical="top" wrapText="1"/>
    </xf>
    <xf numFmtId="168" fontId="11" fillId="0" borderId="0" xfId="0" applyNumberFormat="1" applyFont="1" applyAlignment="1">
      <alignment horizontal="right" vertical="top" wrapText="1"/>
    </xf>
    <xf numFmtId="168" fontId="10" fillId="0" borderId="0" xfId="0" applyNumberFormat="1" applyFont="1" applyAlignment="1">
      <alignment horizontal="right" vertical="top" wrapText="1"/>
    </xf>
    <xf numFmtId="169" fontId="6" fillId="0" borderId="0" xfId="0" applyNumberFormat="1" applyFont="1" applyAlignment="1">
      <alignment horizontal="right" vertical="top" wrapText="1"/>
    </xf>
    <xf numFmtId="49" fontId="6" fillId="0" borderId="0" xfId="0" applyNumberFormat="1" applyFont="1" applyAlignment="1">
      <alignment horizontal="right" vertical="top" wrapText="1"/>
    </xf>
    <xf numFmtId="170" fontId="6" fillId="0" borderId="0" xfId="0" applyNumberFormat="1" applyFont="1" applyAlignment="1">
      <alignment horizontal="right" vertical="top" wrapText="1"/>
    </xf>
    <xf numFmtId="167" fontId="6" fillId="0" borderId="0" xfId="0" applyNumberFormat="1" applyFont="1" applyAlignment="1">
      <alignment horizontal="right" vertical="top" wrapText="1"/>
    </xf>
    <xf numFmtId="0" fontId="1" fillId="0" borderId="0" xfId="0" applyFont="1" applyAlignment="1">
      <alignment vertical="top" wrapText="1"/>
    </xf>
    <xf numFmtId="0" fontId="12" fillId="0" borderId="0" xfId="1" applyAlignment="1"/>
    <xf numFmtId="0" fontId="6" fillId="0" borderId="0" xfId="0" applyFont="1" applyAlignment="1">
      <alignment horizontal="center" vertical="center"/>
    </xf>
    <xf numFmtId="168" fontId="8" fillId="0" borderId="0" xfId="0" applyNumberFormat="1" applyFont="1" applyAlignment="1">
      <alignment horizontal="right" vertical="top" wrapText="1"/>
    </xf>
    <xf numFmtId="0" fontId="6" fillId="0" borderId="0" xfId="0" applyFont="1" applyAlignment="1">
      <alignment horizontal="center" vertical="center" wrapText="1"/>
    </xf>
    <xf numFmtId="171" fontId="6" fillId="0" borderId="0" xfId="0" applyNumberFormat="1" applyFont="1" applyAlignment="1">
      <alignment horizontal="right" vertical="top" wrapText="1"/>
    </xf>
    <xf numFmtId="172" fontId="6" fillId="0" borderId="0" xfId="0" applyNumberFormat="1" applyFont="1" applyAlignment="1">
      <alignment horizontal="right" vertical="top" wrapText="1"/>
    </xf>
    <xf numFmtId="173" fontId="6" fillId="0" borderId="0" xfId="0" applyNumberFormat="1" applyFont="1" applyAlignment="1">
      <alignment horizontal="right" vertical="top" wrapText="1"/>
    </xf>
    <xf numFmtId="0" fontId="8" fillId="3" borderId="0" xfId="0" applyFont="1" applyFill="1" applyAlignment="1">
      <alignment wrapText="1"/>
    </xf>
    <xf numFmtId="0" fontId="8" fillId="3" borderId="0" xfId="0" applyFont="1" applyFill="1" applyAlignment="1">
      <alignment horizontal="right" wrapText="1"/>
    </xf>
    <xf numFmtId="0" fontId="1" fillId="3" borderId="0" xfId="0" applyFont="1" applyFill="1"/>
    <xf numFmtId="0" fontId="9" fillId="3" borderId="0" xfId="0" applyFont="1" applyFill="1" applyAlignment="1">
      <alignment wrapText="1"/>
    </xf>
    <xf numFmtId="0" fontId="9" fillId="3" borderId="0" xfId="0" applyFont="1" applyFill="1" applyAlignment="1">
      <alignment horizontal="right" wrapText="1"/>
    </xf>
    <xf numFmtId="167" fontId="8" fillId="3" borderId="0" xfId="0" applyNumberFormat="1" applyFont="1" applyFill="1" applyAlignment="1">
      <alignment horizontal="right" wrapText="1"/>
    </xf>
    <xf numFmtId="0" fontId="14" fillId="0" borderId="0" xfId="0" applyFont="1"/>
    <xf numFmtId="0" fontId="15" fillId="4" borderId="0" xfId="0" applyFont="1" applyFill="1"/>
    <xf numFmtId="0" fontId="15" fillId="0" borderId="0" xfId="0" applyFont="1"/>
    <xf numFmtId="0" fontId="15" fillId="0" borderId="2" xfId="0" applyFont="1" applyBorder="1"/>
    <xf numFmtId="0" fontId="17" fillId="0" borderId="0" xfId="0" applyFont="1" applyAlignment="1">
      <alignment horizontal="left" vertical="top"/>
    </xf>
    <xf numFmtId="168" fontId="17" fillId="0" borderId="0" xfId="0" applyNumberFormat="1" applyFont="1" applyAlignment="1">
      <alignment horizontal="right" vertical="top" wrapText="1"/>
    </xf>
    <xf numFmtId="174" fontId="17" fillId="0" borderId="0" xfId="0" applyNumberFormat="1" applyFont="1" applyAlignment="1">
      <alignment horizontal="right" vertical="top" wrapText="1"/>
    </xf>
    <xf numFmtId="0" fontId="18" fillId="0" borderId="0" xfId="0" applyFont="1" applyAlignment="1">
      <alignment horizontal="left" vertical="top"/>
    </xf>
    <xf numFmtId="168" fontId="18" fillId="0" borderId="1" xfId="0" applyNumberFormat="1" applyFont="1" applyBorder="1" applyAlignment="1">
      <alignment horizontal="right" vertical="top" wrapText="1"/>
    </xf>
    <xf numFmtId="174" fontId="17" fillId="0" borderId="0" xfId="0" applyNumberFormat="1" applyFont="1" applyAlignment="1">
      <alignment horizontal="left" vertical="top"/>
    </xf>
    <xf numFmtId="165" fontId="17" fillId="0" borderId="2" xfId="2" applyFont="1" applyBorder="1" applyAlignment="1">
      <alignment horizontal="right" vertical="top" wrapText="1"/>
    </xf>
    <xf numFmtId="168" fontId="18" fillId="0" borderId="0" xfId="0" applyNumberFormat="1" applyFont="1" applyAlignment="1">
      <alignment horizontal="right" vertical="top" wrapText="1"/>
    </xf>
    <xf numFmtId="168" fontId="17" fillId="0" borderId="2" xfId="0" applyNumberFormat="1" applyFont="1" applyBorder="1" applyAlignment="1">
      <alignment horizontal="right" vertical="top" wrapText="1"/>
    </xf>
    <xf numFmtId="174" fontId="18" fillId="0" borderId="0" xfId="0" applyNumberFormat="1" applyFont="1" applyAlignment="1">
      <alignment horizontal="left" vertical="top"/>
    </xf>
    <xf numFmtId="165" fontId="17" fillId="0" borderId="0" xfId="2" applyFont="1" applyAlignment="1">
      <alignment horizontal="right" vertical="top" wrapText="1"/>
    </xf>
    <xf numFmtId="174" fontId="17" fillId="0" borderId="0" xfId="0" applyNumberFormat="1" applyFont="1" applyAlignment="1">
      <alignment horizontal="right" vertical="top"/>
    </xf>
    <xf numFmtId="168" fontId="18" fillId="0" borderId="4" xfId="0" applyNumberFormat="1" applyFont="1" applyBorder="1" applyAlignment="1">
      <alignment horizontal="right" vertical="top" wrapText="1"/>
    </xf>
    <xf numFmtId="168" fontId="19" fillId="0" borderId="1" xfId="0" applyNumberFormat="1" applyFont="1" applyBorder="1" applyAlignment="1">
      <alignment horizontal="right" vertical="top" wrapText="1"/>
    </xf>
    <xf numFmtId="175" fontId="14" fillId="0" borderId="0" xfId="0" applyNumberFormat="1" applyFont="1"/>
    <xf numFmtId="175" fontId="0" fillId="0" borderId="0" xfId="0" applyNumberFormat="1"/>
    <xf numFmtId="43" fontId="15" fillId="0" borderId="0" xfId="0" applyNumberFormat="1" applyFont="1" applyAlignment="1">
      <alignment horizontal="right" vertical="top"/>
    </xf>
    <xf numFmtId="176" fontId="14" fillId="0" borderId="0" xfId="0" applyNumberFormat="1" applyFont="1"/>
    <xf numFmtId="43" fontId="14" fillId="0" borderId="0" xfId="0" applyNumberFormat="1" applyFont="1" applyAlignment="1">
      <alignment horizontal="right" vertical="top"/>
    </xf>
    <xf numFmtId="43" fontId="14" fillId="0" borderId="0" xfId="0" applyNumberFormat="1" applyFont="1" applyAlignment="1">
      <alignment horizontal="right"/>
    </xf>
    <xf numFmtId="174" fontId="17" fillId="0" borderId="0" xfId="2" applyNumberFormat="1" applyFont="1" applyAlignment="1">
      <alignment horizontal="right" vertical="top"/>
    </xf>
    <xf numFmtId="174" fontId="17" fillId="0" borderId="2" xfId="2" applyNumberFormat="1" applyFont="1" applyBorder="1" applyAlignment="1">
      <alignment horizontal="right" vertical="top"/>
    </xf>
    <xf numFmtId="174" fontId="18" fillId="0" borderId="0" xfId="2" applyNumberFormat="1" applyFont="1" applyAlignment="1">
      <alignment horizontal="right" vertical="top"/>
    </xf>
    <xf numFmtId="174" fontId="20" fillId="0" borderId="0" xfId="2" applyNumberFormat="1" applyFont="1" applyBorder="1" applyAlignment="1">
      <alignment horizontal="right" vertical="top"/>
    </xf>
    <xf numFmtId="174" fontId="10" fillId="0" borderId="0" xfId="0" applyNumberFormat="1" applyFont="1" applyAlignment="1">
      <alignment horizontal="right" vertical="top" wrapText="1"/>
    </xf>
    <xf numFmtId="0" fontId="17" fillId="0" borderId="0" xfId="2" applyNumberFormat="1" applyFont="1" applyBorder="1" applyAlignment="1">
      <alignment horizontal="right" vertical="top"/>
    </xf>
    <xf numFmtId="168" fontId="19" fillId="0" borderId="0" xfId="0" applyNumberFormat="1" applyFont="1" applyAlignment="1">
      <alignment horizontal="right" vertical="top" wrapText="1"/>
    </xf>
    <xf numFmtId="174" fontId="14" fillId="0" borderId="0" xfId="0" applyNumberFormat="1" applyFont="1"/>
    <xf numFmtId="174" fontId="18" fillId="0" borderId="2" xfId="2" applyNumberFormat="1" applyFont="1" applyBorder="1" applyAlignment="1">
      <alignment horizontal="right" vertical="top"/>
    </xf>
    <xf numFmtId="174" fontId="20" fillId="0" borderId="0" xfId="2" applyNumberFormat="1" applyFont="1" applyAlignment="1">
      <alignment horizontal="right" vertical="top"/>
    </xf>
    <xf numFmtId="174" fontId="14" fillId="0" borderId="0" xfId="0" applyNumberFormat="1" applyFont="1" applyAlignment="1">
      <alignment horizontal="right"/>
    </xf>
    <xf numFmtId="174" fontId="6" fillId="0" borderId="0" xfId="0" applyNumberFormat="1" applyFont="1" applyAlignment="1">
      <alignment horizontal="right" vertical="top" wrapText="1"/>
    </xf>
    <xf numFmtId="174" fontId="18" fillId="0" borderId="0" xfId="0" applyNumberFormat="1" applyFont="1" applyAlignment="1">
      <alignment horizontal="right" vertical="top" wrapText="1"/>
    </xf>
    <xf numFmtId="0" fontId="14" fillId="0" borderId="0" xfId="0" applyFont="1" applyAlignment="1">
      <alignment vertical="top" wrapText="1"/>
    </xf>
    <xf numFmtId="0" fontId="17" fillId="0" borderId="0" xfId="0" applyFont="1" applyAlignment="1">
      <alignment horizontal="center" vertical="center"/>
    </xf>
    <xf numFmtId="14" fontId="15" fillId="5" borderId="3" xfId="0" applyNumberFormat="1" applyFont="1" applyFill="1" applyBorder="1"/>
    <xf numFmtId="0" fontId="15" fillId="0" borderId="0" xfId="0" applyFont="1" applyAlignment="1">
      <alignment horizontal="right"/>
    </xf>
    <xf numFmtId="0" fontId="14" fillId="6" borderId="0" xfId="0" applyFont="1" applyFill="1"/>
    <xf numFmtId="0" fontId="21" fillId="0" borderId="0" xfId="0" applyFont="1" applyAlignment="1">
      <alignment horizontal="left" indent="2"/>
    </xf>
    <xf numFmtId="9" fontId="21" fillId="6" borderId="0" xfId="3" applyFont="1" applyFill="1" applyAlignment="1"/>
    <xf numFmtId="0" fontId="14" fillId="0" borderId="4" xfId="0" applyFont="1" applyBorder="1"/>
    <xf numFmtId="0" fontId="15" fillId="0" borderId="4" xfId="0" applyFont="1" applyBorder="1"/>
    <xf numFmtId="0" fontId="21" fillId="0" borderId="0" xfId="0" applyFont="1"/>
    <xf numFmtId="0" fontId="21" fillId="0" borderId="0" xfId="0" applyFont="1" applyAlignment="1">
      <alignment horizontal="left"/>
    </xf>
    <xf numFmtId="9" fontId="21" fillId="0" borderId="0" xfId="3" applyFont="1" applyAlignment="1">
      <alignment horizontal="left" indent="2"/>
    </xf>
    <xf numFmtId="0" fontId="15" fillId="0" borderId="3" xfId="0" applyFont="1" applyBorder="1"/>
    <xf numFmtId="0" fontId="0" fillId="0" borderId="0" xfId="0" quotePrefix="1"/>
    <xf numFmtId="0" fontId="21" fillId="0" borderId="0" xfId="0" applyFont="1" applyAlignment="1">
      <alignment horizontal="left" indent="1"/>
    </xf>
    <xf numFmtId="0" fontId="21" fillId="0" borderId="0" xfId="0" applyFont="1" applyAlignment="1">
      <alignment horizontal="right"/>
    </xf>
    <xf numFmtId="0" fontId="15" fillId="8" borderId="5" xfId="0" applyFont="1" applyFill="1" applyBorder="1"/>
    <xf numFmtId="0" fontId="14" fillId="8" borderId="8" xfId="0" applyFont="1" applyFill="1" applyBorder="1"/>
    <xf numFmtId="0" fontId="14" fillId="8" borderId="10" xfId="0" applyFont="1" applyFill="1" applyBorder="1"/>
    <xf numFmtId="0" fontId="22" fillId="0" borderId="0" xfId="0" applyFont="1"/>
    <xf numFmtId="2" fontId="14" fillId="0" borderId="0" xfId="0" applyNumberFormat="1" applyFont="1"/>
    <xf numFmtId="10" fontId="21" fillId="6" borderId="0" xfId="3" applyNumberFormat="1" applyFont="1" applyFill="1" applyAlignment="1"/>
    <xf numFmtId="2" fontId="14" fillId="0" borderId="4" xfId="0" applyNumberFormat="1" applyFont="1" applyBorder="1"/>
    <xf numFmtId="2" fontId="21" fillId="6" borderId="0" xfId="3" applyNumberFormat="1" applyFont="1" applyFill="1" applyAlignment="1"/>
    <xf numFmtId="2" fontId="14" fillId="6" borderId="0" xfId="0" applyNumberFormat="1" applyFont="1" applyFill="1"/>
    <xf numFmtId="2" fontId="15" fillId="0" borderId="4" xfId="0" applyNumberFormat="1" applyFont="1" applyBorder="1"/>
    <xf numFmtId="2" fontId="15" fillId="0" borderId="3" xfId="0" applyNumberFormat="1" applyFont="1" applyBorder="1"/>
    <xf numFmtId="43" fontId="14" fillId="6" borderId="0" xfId="0" applyNumberFormat="1" applyFont="1" applyFill="1"/>
    <xf numFmtId="10" fontId="21" fillId="0" borderId="0" xfId="3" applyNumberFormat="1" applyFont="1" applyAlignment="1">
      <alignment horizontal="right"/>
    </xf>
    <xf numFmtId="43" fontId="14" fillId="0" borderId="4" xfId="0" applyNumberFormat="1" applyFont="1" applyBorder="1"/>
    <xf numFmtId="43" fontId="15" fillId="0" borderId="4" xfId="0" applyNumberFormat="1" applyFont="1" applyBorder="1"/>
    <xf numFmtId="2" fontId="14" fillId="7" borderId="0" xfId="0" applyNumberFormat="1" applyFont="1" applyFill="1"/>
    <xf numFmtId="2" fontId="0" fillId="0" borderId="0" xfId="0" applyNumberFormat="1"/>
    <xf numFmtId="2" fontId="21" fillId="6" borderId="0" xfId="0" applyNumberFormat="1" applyFont="1" applyFill="1" applyAlignment="1">
      <alignment horizontal="right"/>
    </xf>
    <xf numFmtId="2" fontId="21" fillId="0" borderId="0" xfId="0" applyNumberFormat="1" applyFont="1" applyAlignment="1">
      <alignment horizontal="right"/>
    </xf>
    <xf numFmtId="10" fontId="21" fillId="0" borderId="0" xfId="3" applyNumberFormat="1" applyFont="1" applyAlignment="1"/>
    <xf numFmtId="0" fontId="14" fillId="0" borderId="0" xfId="0" applyFont="1" applyAlignment="1">
      <alignment horizontal="left"/>
    </xf>
    <xf numFmtId="10" fontId="0" fillId="0" borderId="0" xfId="0" applyNumberFormat="1"/>
    <xf numFmtId="0" fontId="15" fillId="0" borderId="0" xfId="0" applyFont="1" applyAlignment="1">
      <alignment horizontal="left"/>
    </xf>
    <xf numFmtId="175" fontId="15" fillId="0" borderId="0" xfId="0" applyNumberFormat="1" applyFont="1"/>
    <xf numFmtId="0" fontId="14" fillId="0" borderId="0" xfId="0" applyFont="1" applyAlignment="1">
      <alignment horizontal="left" vertical="center"/>
    </xf>
    <xf numFmtId="175" fontId="21" fillId="0" borderId="0" xfId="3" applyNumberFormat="1" applyFont="1" applyFill="1" applyBorder="1" applyAlignment="1"/>
    <xf numFmtId="0" fontId="14" fillId="0" borderId="0" xfId="0" applyFont="1" applyAlignment="1">
      <alignment horizontal="left" indent="2"/>
    </xf>
    <xf numFmtId="39" fontId="14" fillId="0" borderId="0" xfId="0" applyNumberFormat="1" applyFont="1"/>
    <xf numFmtId="10" fontId="14" fillId="0" borderId="0" xfId="0" applyNumberFormat="1" applyFont="1"/>
    <xf numFmtId="2" fontId="21" fillId="0" borderId="0" xfId="3" applyNumberFormat="1" applyFont="1" applyFill="1" applyBorder="1" applyAlignment="1"/>
    <xf numFmtId="9" fontId="21" fillId="0" borderId="0" xfId="3" applyFont="1" applyFill="1" applyBorder="1" applyAlignment="1">
      <alignment horizontal="right"/>
    </xf>
    <xf numFmtId="9" fontId="21" fillId="0" borderId="0" xfId="3" applyFont="1" applyFill="1" applyBorder="1" applyAlignment="1"/>
    <xf numFmtId="0" fontId="25" fillId="0" borderId="0" xfId="0" applyFont="1"/>
    <xf numFmtId="2" fontId="15" fillId="0" borderId="0" xfId="0" applyNumberFormat="1" applyFont="1"/>
    <xf numFmtId="10" fontId="21" fillId="0" borderId="0" xfId="3" applyNumberFormat="1" applyFont="1" applyFill="1" applyBorder="1" applyAlignment="1">
      <alignment horizontal="right"/>
    </xf>
    <xf numFmtId="177" fontId="21" fillId="0" borderId="0" xfId="3" applyNumberFormat="1" applyFont="1" applyFill="1" applyBorder="1" applyAlignment="1"/>
    <xf numFmtId="0" fontId="14" fillId="0" borderId="0" xfId="0" applyFont="1" applyAlignment="1">
      <alignment horizontal="left" indent="1"/>
    </xf>
    <xf numFmtId="43" fontId="14" fillId="0" borderId="0" xfId="0" applyNumberFormat="1" applyFont="1"/>
    <xf numFmtId="10" fontId="21" fillId="0" borderId="0" xfId="3" applyNumberFormat="1" applyFont="1" applyFill="1" applyBorder="1" applyAlignment="1"/>
    <xf numFmtId="43" fontId="15" fillId="0" borderId="0" xfId="0" applyNumberFormat="1" applyFont="1"/>
    <xf numFmtId="178" fontId="21" fillId="0" borderId="0" xfId="3" applyNumberFormat="1" applyFont="1" applyFill="1" applyBorder="1" applyAlignment="1"/>
    <xf numFmtId="177" fontId="21" fillId="0" borderId="0" xfId="3" applyNumberFormat="1" applyFont="1" applyFill="1" applyBorder="1" applyAlignment="1">
      <alignment horizontal="right"/>
    </xf>
    <xf numFmtId="43" fontId="14" fillId="0" borderId="0" xfId="4" applyNumberFormat="1" applyFont="1" applyFill="1" applyBorder="1" applyAlignment="1"/>
    <xf numFmtId="179" fontId="15" fillId="0" borderId="0" xfId="0" applyNumberFormat="1" applyFont="1"/>
    <xf numFmtId="179" fontId="14" fillId="0" borderId="0" xfId="2" applyNumberFormat="1" applyFont="1" applyFill="1" applyBorder="1" applyAlignment="1"/>
    <xf numFmtId="179" fontId="14" fillId="0" borderId="0" xfId="0" applyNumberFormat="1" applyFont="1"/>
    <xf numFmtId="0" fontId="22" fillId="0" borderId="0" xfId="0" applyFont="1" applyAlignment="1">
      <alignment horizontal="left"/>
    </xf>
    <xf numFmtId="0" fontId="23" fillId="0" borderId="0" xfId="0" applyFont="1" applyAlignment="1">
      <alignment horizontal="left"/>
    </xf>
    <xf numFmtId="2" fontId="21" fillId="0" borderId="0" xfId="3" applyNumberFormat="1" applyFont="1" applyFill="1" applyBorder="1" applyAlignment="1">
      <alignment horizontal="right"/>
    </xf>
    <xf numFmtId="2" fontId="17" fillId="0" borderId="0" xfId="0" applyNumberFormat="1" applyFont="1" applyAlignment="1">
      <alignment horizontal="right" vertical="top" wrapText="1"/>
    </xf>
    <xf numFmtId="2" fontId="14" fillId="0" borderId="0" xfId="3" applyNumberFormat="1" applyFont="1" applyFill="1" applyBorder="1" applyAlignment="1">
      <alignment horizontal="right"/>
    </xf>
    <xf numFmtId="2" fontId="14" fillId="0" borderId="0" xfId="3" applyNumberFormat="1" applyFont="1" applyFill="1" applyBorder="1" applyAlignment="1"/>
    <xf numFmtId="2" fontId="15" fillId="0" borderId="0" xfId="3" applyNumberFormat="1" applyFont="1" applyFill="1" applyBorder="1" applyAlignment="1">
      <alignment horizontal="right"/>
    </xf>
    <xf numFmtId="9" fontId="21" fillId="0" borderId="0" xfId="3" applyFont="1" applyAlignment="1">
      <alignment horizontal="right"/>
    </xf>
    <xf numFmtId="175" fontId="14" fillId="0" borderId="4" xfId="0" applyNumberFormat="1" applyFont="1" applyBorder="1"/>
    <xf numFmtId="0" fontId="14" fillId="7" borderId="0" xfId="0" applyFont="1" applyFill="1"/>
    <xf numFmtId="168" fontId="14" fillId="0" borderId="4" xfId="0" applyNumberFormat="1" applyFont="1" applyBorder="1"/>
    <xf numFmtId="0" fontId="14" fillId="0" borderId="2" xfId="0" applyFont="1" applyBorder="1"/>
    <xf numFmtId="168" fontId="14" fillId="0" borderId="2" xfId="0" applyNumberFormat="1" applyFont="1" applyBorder="1"/>
    <xf numFmtId="1" fontId="14" fillId="0" borderId="2" xfId="0" applyNumberFormat="1" applyFont="1" applyBorder="1"/>
    <xf numFmtId="168" fontId="14" fillId="0" borderId="0" xfId="0" applyNumberFormat="1" applyFont="1"/>
    <xf numFmtId="177" fontId="21" fillId="0" borderId="0" xfId="3" applyNumberFormat="1" applyFont="1" applyAlignment="1">
      <alignment horizontal="right"/>
    </xf>
    <xf numFmtId="0" fontId="21" fillId="6" borderId="0" xfId="0" applyFont="1" applyFill="1" applyAlignment="1">
      <alignment horizontal="right"/>
    </xf>
    <xf numFmtId="43" fontId="14" fillId="6" borderId="0" xfId="4" applyNumberFormat="1" applyFont="1" applyFill="1" applyAlignment="1"/>
    <xf numFmtId="43" fontId="14" fillId="0" borderId="4" xfId="4" applyNumberFormat="1" applyFont="1" applyBorder="1" applyAlignment="1"/>
    <xf numFmtId="0" fontId="14" fillId="8" borderId="6" xfId="0" applyFont="1" applyFill="1" applyBorder="1"/>
    <xf numFmtId="0" fontId="14" fillId="8" borderId="7" xfId="0" applyFont="1" applyFill="1" applyBorder="1"/>
    <xf numFmtId="0" fontId="14" fillId="8" borderId="11" xfId="0" applyFont="1" applyFill="1" applyBorder="1"/>
    <xf numFmtId="0" fontId="14" fillId="8" borderId="12" xfId="0" applyFont="1" applyFill="1" applyBorder="1"/>
    <xf numFmtId="0" fontId="23" fillId="0" borderId="0" xfId="0" applyFont="1"/>
    <xf numFmtId="180" fontId="17" fillId="7" borderId="0" xfId="0" applyNumberFormat="1" applyFont="1" applyFill="1" applyAlignment="1">
      <alignment horizontal="right" vertical="top" wrapText="1"/>
    </xf>
    <xf numFmtId="180" fontId="14" fillId="7" borderId="0" xfId="0" applyNumberFormat="1" applyFont="1" applyFill="1"/>
    <xf numFmtId="180" fontId="14" fillId="0" borderId="4" xfId="0" applyNumberFormat="1" applyFont="1" applyBorder="1"/>
    <xf numFmtId="180" fontId="15" fillId="0" borderId="4" xfId="0" applyNumberFormat="1" applyFont="1" applyBorder="1"/>
    <xf numFmtId="180" fontId="14" fillId="0" borderId="2" xfId="0" applyNumberFormat="1" applyFont="1" applyBorder="1"/>
    <xf numFmtId="180" fontId="14" fillId="0" borderId="0" xfId="0" applyNumberFormat="1" applyFont="1"/>
    <xf numFmtId="181" fontId="15" fillId="0" borderId="3" xfId="0" applyNumberFormat="1" applyFont="1" applyBorder="1"/>
    <xf numFmtId="43" fontId="15" fillId="0" borderId="3" xfId="0" applyNumberFormat="1" applyFont="1" applyBorder="1"/>
    <xf numFmtId="43" fontId="14" fillId="8" borderId="0" xfId="2" applyNumberFormat="1" applyFont="1" applyFill="1" applyAlignment="1"/>
    <xf numFmtId="43" fontId="14" fillId="8" borderId="9" xfId="2" applyNumberFormat="1" applyFont="1" applyFill="1" applyBorder="1" applyAlignment="1"/>
    <xf numFmtId="43" fontId="14" fillId="8" borderId="0" xfId="0" applyNumberFormat="1" applyFont="1" applyFill="1"/>
    <xf numFmtId="2" fontId="14" fillId="8" borderId="11" xfId="0" applyNumberFormat="1" applyFont="1" applyFill="1" applyBorder="1"/>
    <xf numFmtId="0" fontId="15" fillId="6" borderId="13" xfId="0" applyFont="1" applyFill="1" applyBorder="1"/>
    <xf numFmtId="0" fontId="14" fillId="0" borderId="8" xfId="0" applyFont="1" applyBorder="1"/>
    <xf numFmtId="0" fontId="14" fillId="0" borderId="14" xfId="0" applyFont="1" applyBorder="1"/>
    <xf numFmtId="0" fontId="15" fillId="0" borderId="15" xfId="0" applyFont="1" applyBorder="1"/>
    <xf numFmtId="0" fontId="28" fillId="0" borderId="0" xfId="0" applyFont="1"/>
    <xf numFmtId="10" fontId="28" fillId="0" borderId="0" xfId="0" applyNumberFormat="1" applyFont="1"/>
    <xf numFmtId="2" fontId="28" fillId="0" borderId="0" xfId="0" applyNumberFormat="1" applyFont="1"/>
    <xf numFmtId="0" fontId="28" fillId="0" borderId="8" xfId="0" applyFont="1" applyBorder="1"/>
    <xf numFmtId="38" fontId="28" fillId="0" borderId="0" xfId="0" applyNumberFormat="1" applyFont="1"/>
    <xf numFmtId="0" fontId="14" fillId="0" borderId="0" xfId="5"/>
    <xf numFmtId="3" fontId="14" fillId="0" borderId="0" xfId="5" applyNumberFormat="1"/>
    <xf numFmtId="6" fontId="14" fillId="0" borderId="0" xfId="5" applyNumberFormat="1"/>
    <xf numFmtId="14" fontId="14" fillId="0" borderId="0" xfId="5" applyNumberFormat="1"/>
    <xf numFmtId="37" fontId="14" fillId="0" borderId="0" xfId="5" applyNumberFormat="1"/>
    <xf numFmtId="3" fontId="15" fillId="0" borderId="16" xfId="0" applyNumberFormat="1" applyFont="1" applyBorder="1"/>
    <xf numFmtId="182" fontId="14" fillId="6" borderId="0" xfId="0" applyNumberFormat="1" applyFont="1" applyFill="1"/>
    <xf numFmtId="182" fontId="14" fillId="6" borderId="2" xfId="0" applyNumberFormat="1" applyFont="1" applyFill="1" applyBorder="1"/>
    <xf numFmtId="183" fontId="14" fillId="6" borderId="2" xfId="0" applyNumberFormat="1" applyFont="1" applyFill="1" applyBorder="1"/>
    <xf numFmtId="0" fontId="15" fillId="0" borderId="0" xfId="5" applyFont="1"/>
    <xf numFmtId="0" fontId="14" fillId="9" borderId="8" xfId="5" applyFill="1" applyBorder="1"/>
    <xf numFmtId="0" fontId="14" fillId="9" borderId="10" xfId="5" applyFill="1" applyBorder="1"/>
    <xf numFmtId="0" fontId="15" fillId="0" borderId="5" xfId="0" applyFont="1" applyBorder="1"/>
    <xf numFmtId="10" fontId="15" fillId="0" borderId="7" xfId="0" applyNumberFormat="1" applyFont="1" applyBorder="1"/>
    <xf numFmtId="0" fontId="15" fillId="0" borderId="8" xfId="0" applyFont="1" applyBorder="1"/>
    <xf numFmtId="10" fontId="15" fillId="0" borderId="9" xfId="0" applyNumberFormat="1" applyFont="1" applyBorder="1"/>
    <xf numFmtId="182" fontId="15" fillId="0" borderId="9" xfId="0" applyNumberFormat="1" applyFont="1" applyBorder="1"/>
    <xf numFmtId="2" fontId="15" fillId="0" borderId="9" xfId="0" applyNumberFormat="1" applyFont="1" applyBorder="1"/>
    <xf numFmtId="0" fontId="15" fillId="0" borderId="10" xfId="0" applyFont="1" applyBorder="1"/>
    <xf numFmtId="2" fontId="15" fillId="0" borderId="12" xfId="0" applyNumberFormat="1" applyFont="1" applyBorder="1"/>
    <xf numFmtId="0" fontId="14" fillId="9" borderId="5" xfId="5" applyFill="1" applyBorder="1"/>
    <xf numFmtId="0" fontId="14" fillId="10" borderId="0" xfId="0" applyFont="1" applyFill="1"/>
    <xf numFmtId="0" fontId="15" fillId="10" borderId="0" xfId="0" applyFont="1" applyFill="1"/>
    <xf numFmtId="0" fontId="15" fillId="10" borderId="0" xfId="0" applyFont="1" applyFill="1" applyAlignment="1">
      <alignment horizontal="center"/>
    </xf>
    <xf numFmtId="165" fontId="14" fillId="10" borderId="0" xfId="2" applyFont="1" applyFill="1" applyAlignment="1"/>
    <xf numFmtId="177" fontId="14" fillId="10" borderId="0" xfId="3" applyNumberFormat="1" applyFont="1" applyFill="1" applyAlignment="1"/>
    <xf numFmtId="10" fontId="14" fillId="10" borderId="0" xfId="0" applyNumberFormat="1" applyFont="1" applyFill="1"/>
    <xf numFmtId="0" fontId="15" fillId="10" borderId="2" xfId="0" applyFont="1" applyFill="1" applyBorder="1"/>
    <xf numFmtId="165" fontId="14" fillId="10" borderId="2" xfId="2" applyFont="1" applyFill="1" applyBorder="1" applyAlignment="1"/>
    <xf numFmtId="177" fontId="14" fillId="10" borderId="2" xfId="3" applyNumberFormat="1" applyFont="1" applyFill="1" applyBorder="1" applyAlignment="1"/>
    <xf numFmtId="10" fontId="14" fillId="10" borderId="2" xfId="0" applyNumberFormat="1" applyFont="1" applyFill="1" applyBorder="1"/>
    <xf numFmtId="43" fontId="14" fillId="10" borderId="0" xfId="0" applyNumberFormat="1" applyFont="1" applyFill="1"/>
    <xf numFmtId="177" fontId="14" fillId="10" borderId="0" xfId="0" applyNumberFormat="1" applyFont="1" applyFill="1"/>
    <xf numFmtId="10" fontId="15" fillId="10" borderId="0" xfId="3" applyNumberFormat="1" applyFont="1" applyFill="1" applyAlignment="1"/>
    <xf numFmtId="40" fontId="28" fillId="0" borderId="0" xfId="0" applyNumberFormat="1" applyFont="1"/>
    <xf numFmtId="40" fontId="15" fillId="0" borderId="16" xfId="0" applyNumberFormat="1" applyFont="1" applyBorder="1"/>
    <xf numFmtId="182" fontId="14" fillId="0" borderId="0" xfId="3" applyNumberFormat="1" applyFont="1" applyFill="1" applyBorder="1" applyAlignment="1"/>
    <xf numFmtId="166" fontId="14" fillId="0" borderId="0" xfId="5" applyNumberFormat="1"/>
    <xf numFmtId="2" fontId="14" fillId="0" borderId="0" xfId="0" applyNumberFormat="1" applyFont="1" applyAlignment="1">
      <alignment horizontal="right" vertical="center"/>
    </xf>
    <xf numFmtId="2" fontId="15" fillId="0" borderId="0" xfId="0" applyNumberFormat="1" applyFont="1" applyAlignment="1">
      <alignment horizontal="right" vertical="center"/>
    </xf>
    <xf numFmtId="2" fontId="17" fillId="0" borderId="0" xfId="0" applyNumberFormat="1" applyFont="1" applyAlignment="1">
      <alignment horizontal="right" vertical="center"/>
    </xf>
    <xf numFmtId="2" fontId="15" fillId="0" borderId="0" xfId="3" applyNumberFormat="1" applyFont="1" applyFill="1" applyBorder="1" applyAlignment="1">
      <alignment horizontal="right" vertical="center"/>
    </xf>
    <xf numFmtId="0" fontId="31" fillId="0" borderId="0" xfId="0" applyFont="1"/>
    <xf numFmtId="10" fontId="24" fillId="11" borderId="0" xfId="3" applyNumberFormat="1" applyFont="1" applyFill="1" applyAlignment="1"/>
    <xf numFmtId="10" fontId="21" fillId="11" borderId="0" xfId="3" applyNumberFormat="1" applyFont="1" applyFill="1" applyAlignment="1"/>
    <xf numFmtId="166" fontId="14" fillId="12" borderId="0" xfId="5" applyNumberFormat="1" applyFill="1"/>
    <xf numFmtId="10" fontId="15" fillId="11" borderId="9" xfId="0" applyNumberFormat="1" applyFont="1" applyFill="1" applyBorder="1"/>
    <xf numFmtId="2" fontId="15" fillId="11" borderId="12" xfId="0" applyNumberFormat="1" applyFont="1" applyFill="1" applyBorder="1"/>
    <xf numFmtId="0" fontId="15" fillId="10" borderId="0" xfId="0" applyFont="1" applyFill="1" applyAlignment="1">
      <alignment horizontal="right"/>
    </xf>
  </cellXfs>
  <cellStyles count="7">
    <cellStyle name="Comma" xfId="2" builtinId="3"/>
    <cellStyle name="Currency" xfId="4" builtinId="4"/>
    <cellStyle name="Invisible" xfId="1" xr:uid="{15D567D5-3555-4F7F-9488-03E107C8393E}"/>
    <cellStyle name="Normal" xfId="0" builtinId="0"/>
    <cellStyle name="Normal 2" xfId="5" xr:uid="{CC2679AC-5410-44F8-9958-FEA1448425E7}"/>
    <cellStyle name="Percent" xfId="3" builtinId="5"/>
    <cellStyle name="Percent 2" xfId="6" xr:uid="{9214380A-9D50-46B7-A32B-B8D267C37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none"/>
          </c:marker>
          <c:xVal>
            <c:numRef>
              <c:f>[2]Output!$C$76:$L$76</c:f>
              <c:numCache>
                <c:formatCode>General</c:formatCode>
                <c:ptCount val="10"/>
                <c:pt idx="0">
                  <c:v>43435</c:v>
                </c:pt>
                <c:pt idx="1">
                  <c:v>43800</c:v>
                </c:pt>
                <c:pt idx="2">
                  <c:v>44166</c:v>
                </c:pt>
                <c:pt idx="3">
                  <c:v>44531</c:v>
                </c:pt>
                <c:pt idx="4">
                  <c:v>44896</c:v>
                </c:pt>
                <c:pt idx="5">
                  <c:v>45261</c:v>
                </c:pt>
                <c:pt idx="6">
                  <c:v>45627</c:v>
                </c:pt>
                <c:pt idx="7">
                  <c:v>45992</c:v>
                </c:pt>
                <c:pt idx="8">
                  <c:v>46357</c:v>
                </c:pt>
                <c:pt idx="9">
                  <c:v>46722</c:v>
                </c:pt>
              </c:numCache>
            </c:numRef>
          </c:xVal>
          <c:yVal>
            <c:numRef>
              <c:f>[2]Output!$C$77:$L$77</c:f>
              <c:numCache>
                <c:formatCode>General</c:formatCode>
                <c:ptCount val="10"/>
                <c:pt idx="0">
                  <c:v>5.2953818015546412</c:v>
                </c:pt>
                <c:pt idx="1">
                  <c:v>4.5111070313934265</c:v>
                </c:pt>
                <c:pt idx="2">
                  <c:v>4.0796474620532068</c:v>
                </c:pt>
                <c:pt idx="3">
                  <c:v>4.1873350923482846</c:v>
                </c:pt>
                <c:pt idx="4">
                  <c:v>3.9564446695365914</c:v>
                </c:pt>
                <c:pt idx="5">
                  <c:v>4.6843062331716725</c:v>
                </c:pt>
                <c:pt idx="6">
                  <c:v>5.1127368672530737</c:v>
                </c:pt>
                <c:pt idx="7">
                  <c:v>5.5324294989439435</c:v>
                </c:pt>
                <c:pt idx="8">
                  <c:v>5.9414665638730888</c:v>
                </c:pt>
                <c:pt idx="9">
                  <c:v>6.3381017612226671</c:v>
                </c:pt>
              </c:numCache>
            </c:numRef>
          </c:yVal>
          <c:smooth val="1"/>
          <c:extLst>
            <c:ext xmlns:c16="http://schemas.microsoft.com/office/drawing/2014/chart" uri="{C3380CC4-5D6E-409C-BE32-E72D297353CC}">
              <c16:uniqueId val="{00000000-7DEC-4181-A96E-256A62DBB96A}"/>
            </c:ext>
          </c:extLst>
        </c:ser>
        <c:dLbls>
          <c:showLegendKey val="0"/>
          <c:showVal val="0"/>
          <c:showCatName val="0"/>
          <c:showSerName val="0"/>
          <c:showPercent val="0"/>
          <c:showBubbleSize val="0"/>
        </c:dLbls>
        <c:axId val="352160015"/>
        <c:axId val="352168335"/>
      </c:scatterChart>
      <c:valAx>
        <c:axId val="3521600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2168335"/>
        <c:crosses val="autoZero"/>
        <c:crossBetween val="midCat"/>
      </c:valAx>
      <c:valAx>
        <c:axId val="3521683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216001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5" fmlaLink="$B$75" fmlaRange="$B$61:$B$74" noThreeD="1"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137161</xdr:colOff>
      <xdr:row>159</xdr:row>
      <xdr:rowOff>101600</xdr:rowOff>
    </xdr:from>
    <xdr:ext cx="8651239" cy="561885"/>
    <xdr:sp macro="" textlink="">
      <xdr:nvSpPr>
        <xdr:cNvPr id="3" name="TextBox 1">
          <a:extLst>
            <a:ext uri="{FF2B5EF4-FFF2-40B4-BE49-F238E27FC236}">
              <a16:creationId xmlns:a16="http://schemas.microsoft.com/office/drawing/2014/main" id="{00000000-0008-0000-0200-000003000000}"/>
            </a:ext>
          </a:extLst>
        </xdr:cNvPr>
        <xdr:cNvSpPr txBox="1"/>
      </xdr:nvSpPr>
      <xdr:spPr>
        <a:xfrm>
          <a:off x="137161" y="26497280"/>
          <a:ext cx="8651239" cy="561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mn-lt"/>
            </a:rPr>
            <a:t>If the securities or assets owned in another firm represent more than 50% of the overall ownership of that firm, the balance sheets of the two firms are consolidated (the assets and liabilities of the two firms are merged and presented as one balance sheet). The share of the firm that is owned by other investors is shown as a minority interest.</a:t>
          </a:r>
          <a:r>
            <a:rPr lang="en-US" sz="1000" baseline="0">
              <a:latin typeface="+mn-lt"/>
            </a:rPr>
            <a:t> It can be considered as liability or equity. Follow the company's approach.  </a:t>
          </a:r>
          <a:endParaRPr lang="en-US" sz="1000">
            <a:latin typeface="+mn-lt"/>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75</xdr:row>
          <xdr:rowOff>12700</xdr:rowOff>
        </xdr:from>
        <xdr:to>
          <xdr:col>1</xdr:col>
          <xdr:colOff>1117600</xdr:colOff>
          <xdr:row>76</xdr:row>
          <xdr:rowOff>12700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1534160</xdr:colOff>
      <xdr:row>79</xdr:row>
      <xdr:rowOff>7620</xdr:rowOff>
    </xdr:from>
    <xdr:to>
      <xdr:col>7</xdr:col>
      <xdr:colOff>685800</xdr:colOff>
      <xdr:row>95</xdr:row>
      <xdr:rowOff>134620</xdr:rowOff>
    </xdr:to>
    <xdr:graphicFrame macro="">
      <xdr:nvGraphicFramePr>
        <xdr:cNvPr id="2" name="Chart 9">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1409700</xdr:colOff>
      <xdr:row>1</xdr:row>
      <xdr:rowOff>91440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1409700</xdr:colOff>
      <xdr:row>1</xdr:row>
      <xdr:rowOff>91440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1409700</xdr:colOff>
      <xdr:row>1</xdr:row>
      <xdr:rowOff>91440</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1409700</xdr:colOff>
      <xdr:row>1</xdr:row>
      <xdr:rowOff>91440</xdr:rowOff>
    </xdr:to>
    <xdr:pic>
      <xdr:nvPicPr>
        <xdr:cNvPr id="2" name="Picture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esktop/2022.8-2023.8%20In%20JHU/2Discipline/4Spring%20II/3Financial%20Modeling%20and%20Valuation%20(Fri.%20AM%208-11)/2Homeworks/2/Zhou_Fangyu_FAST_Part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esktop/2022.8-2023.8%20In%20JHU/2Discipline/4Spring%20II/3Financial%20Modeling%20and%20Valuation%20(Fri.%20AM%208-11)/2Homeworks/2/FAST_Par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sheetName val="Organized PL+BS"/>
      <sheetName val="Key Stats"/>
      <sheetName val="Income Statement"/>
      <sheetName val="Balance Sheet"/>
      <sheetName val="Cash Flow"/>
      <sheetName val="Ratios"/>
    </sheetNames>
    <sheetDataSet>
      <sheetData sheetId="0"/>
      <sheetData sheetId="1"/>
      <sheetData sheetId="2">
        <row r="20">
          <cell r="C20">
            <v>0.5</v>
          </cell>
          <cell r="D20">
            <v>0</v>
          </cell>
          <cell r="E20">
            <v>0</v>
          </cell>
          <cell r="F20">
            <v>0</v>
          </cell>
          <cell r="G20">
            <v>0</v>
          </cell>
        </row>
        <row r="39">
          <cell r="C39">
            <v>-821.4</v>
          </cell>
          <cell r="D39">
            <v>-943.7</v>
          </cell>
          <cell r="E39">
            <v>-1053.9000000000001</v>
          </cell>
          <cell r="F39">
            <v>-1178</v>
          </cell>
          <cell r="G39">
            <v>-1301.4000000000001</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sheetName val="Organized PL+BS"/>
      <sheetName val="Key Stats"/>
      <sheetName val="Income Statement"/>
      <sheetName val="Balance Sheet"/>
      <sheetName val="Cash Flow"/>
      <sheetName val="Ratios"/>
    </sheetNames>
    <sheetDataSet>
      <sheetData sheetId="0"/>
      <sheetData sheetId="1">
        <row r="76">
          <cell r="C76">
            <v>43435</v>
          </cell>
          <cell r="D76">
            <v>43800</v>
          </cell>
          <cell r="E76">
            <v>44166</v>
          </cell>
          <cell r="F76">
            <v>44531</v>
          </cell>
          <cell r="G76">
            <v>44896</v>
          </cell>
          <cell r="H76">
            <v>45261</v>
          </cell>
          <cell r="I76">
            <v>45627</v>
          </cell>
          <cell r="J76">
            <v>45992</v>
          </cell>
          <cell r="K76">
            <v>46357</v>
          </cell>
          <cell r="L76">
            <v>46722</v>
          </cell>
        </row>
        <row r="77">
          <cell r="C77">
            <v>5.2953818015546412</v>
          </cell>
          <cell r="D77">
            <v>4.5111070313934265</v>
          </cell>
          <cell r="E77">
            <v>4.0796474620532068</v>
          </cell>
          <cell r="F77">
            <v>4.1873350923482846</v>
          </cell>
          <cell r="G77">
            <v>3.9564446695365914</v>
          </cell>
          <cell r="H77">
            <v>4.6843062331716725</v>
          </cell>
          <cell r="I77">
            <v>5.1127368672530737</v>
          </cell>
          <cell r="J77">
            <v>5.5324294989439435</v>
          </cell>
          <cell r="K77">
            <v>5.9414665638730888</v>
          </cell>
          <cell r="L77">
            <v>6.3381017612226671</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3B59-AC91-4267-8E24-282D980C4296}">
  <dimension ref="B2:N100"/>
  <sheetViews>
    <sheetView tabSelected="1" topLeftCell="A61" zoomScale="111" workbookViewId="0">
      <selection activeCell="G96" sqref="G96"/>
    </sheetView>
  </sheetViews>
  <sheetFormatPr baseColWidth="10" defaultColWidth="5.83203125" defaultRowHeight="14"/>
  <cols>
    <col min="1" max="1" width="7.83203125" style="171" customWidth="1"/>
    <col min="2" max="2" width="39.1640625" style="105" bestFit="1" customWidth="1"/>
    <col min="3" max="3" width="10.6640625" style="32" bestFit="1" customWidth="1"/>
    <col min="4" max="4" width="22.33203125" style="32" bestFit="1" customWidth="1"/>
    <col min="5" max="5" width="16.33203125" style="32" bestFit="1" customWidth="1"/>
    <col min="6" max="6" width="13" style="32" bestFit="1" customWidth="1"/>
    <col min="7" max="7" width="11.5" style="32" bestFit="1" customWidth="1"/>
    <col min="8" max="8" width="22.33203125" style="32" bestFit="1" customWidth="1"/>
    <col min="9" max="10" width="10.6640625" style="32" bestFit="1" customWidth="1"/>
    <col min="11" max="11" width="10.6640625" style="171" bestFit="1" customWidth="1"/>
    <col min="12" max="12" width="10.83203125" style="171" bestFit="1" customWidth="1"/>
    <col min="13" max="13" width="5.83203125" style="171"/>
    <col min="14" max="14" width="6.1640625" style="171" bestFit="1" customWidth="1"/>
    <col min="15" max="16384" width="5.83203125" style="171"/>
  </cols>
  <sheetData>
    <row r="2" spans="2:14">
      <c r="H2" s="72"/>
      <c r="I2" s="72"/>
      <c r="J2" s="72"/>
      <c r="K2" s="72"/>
      <c r="L2" s="72"/>
      <c r="N2" s="172"/>
    </row>
    <row r="3" spans="2:14" ht="15" thickBot="1">
      <c r="B3" s="107" t="s">
        <v>204</v>
      </c>
      <c r="C3" s="71">
        <v>43465</v>
      </c>
      <c r="D3" s="71">
        <v>43830</v>
      </c>
      <c r="E3" s="71">
        <v>44196</v>
      </c>
      <c r="F3" s="71">
        <v>44561</v>
      </c>
      <c r="G3" s="71">
        <v>44926</v>
      </c>
      <c r="H3" s="71">
        <v>45291</v>
      </c>
      <c r="I3" s="71">
        <v>45657</v>
      </c>
      <c r="J3" s="71">
        <v>46022</v>
      </c>
      <c r="K3" s="71">
        <v>46387</v>
      </c>
      <c r="L3" s="71">
        <v>46752</v>
      </c>
    </row>
    <row r="4" spans="2:14" ht="15" thickTop="1">
      <c r="B4" s="105" t="s">
        <v>234</v>
      </c>
      <c r="C4" s="89">
        <f>Input!C7</f>
        <v>4965.1000000000004</v>
      </c>
      <c r="D4" s="89">
        <f>Input!D7</f>
        <v>5333.7</v>
      </c>
      <c r="E4" s="89">
        <f>Input!E7</f>
        <v>5647.3</v>
      </c>
      <c r="F4" s="89">
        <f>Input!F7</f>
        <v>6010.9</v>
      </c>
      <c r="G4" s="89">
        <f>Input!G7</f>
        <v>6980.6</v>
      </c>
      <c r="H4" s="89">
        <f>Input!H7</f>
        <v>7422.4719799999993</v>
      </c>
      <c r="I4" s="89">
        <f>Input!I7</f>
        <v>7892.3144563339984</v>
      </c>
      <c r="J4" s="89">
        <f>Input!J7</f>
        <v>8391.8979614199397</v>
      </c>
      <c r="K4" s="89">
        <f>Input!K7</f>
        <v>8923.1051023778218</v>
      </c>
      <c r="L4" s="89">
        <f>Input!L7</f>
        <v>9487.937655358337</v>
      </c>
    </row>
    <row r="5" spans="2:14">
      <c r="B5" s="105" t="s">
        <v>236</v>
      </c>
      <c r="C5" s="89">
        <f>Input!C11</f>
        <v>2428</v>
      </c>
      <c r="D5" s="89">
        <f>Input!D11</f>
        <v>2669.6000000000004</v>
      </c>
      <c r="E5" s="89">
        <f>Input!E11</f>
        <v>2917.1</v>
      </c>
      <c r="F5" s="89">
        <f>Input!F11</f>
        <v>3063</v>
      </c>
      <c r="G5" s="89">
        <f>Input!G11</f>
        <v>3588.2000000000003</v>
      </c>
      <c r="H5" s="89">
        <f>Input!H11</f>
        <v>3755.2890872212888</v>
      </c>
      <c r="I5" s="89">
        <f>Input!I11</f>
        <v>3992.9988864423963</v>
      </c>
      <c r="J5" s="89">
        <f>Input!J11</f>
        <v>4245.7557159541993</v>
      </c>
      <c r="K5" s="89">
        <f>Input!K11</f>
        <v>4514.5120527741001</v>
      </c>
      <c r="L5" s="89">
        <f>Input!L11</f>
        <v>4800.2806657147003</v>
      </c>
    </row>
    <row r="6" spans="2:14">
      <c r="B6" s="107" t="s">
        <v>288</v>
      </c>
      <c r="C6" s="118">
        <f>C4-C5</f>
        <v>2537.1000000000004</v>
      </c>
      <c r="D6" s="118">
        <f t="shared" ref="D6:K6" si="0">D4-D5</f>
        <v>2664.0999999999995</v>
      </c>
      <c r="E6" s="118">
        <f t="shared" si="0"/>
        <v>2730.2000000000003</v>
      </c>
      <c r="F6" s="118">
        <f t="shared" si="0"/>
        <v>2947.8999999999996</v>
      </c>
      <c r="G6" s="118">
        <f t="shared" si="0"/>
        <v>3392.4</v>
      </c>
      <c r="H6" s="118">
        <f t="shared" si="0"/>
        <v>3667.1828927787105</v>
      </c>
      <c r="I6" s="118">
        <f t="shared" si="0"/>
        <v>3899.3155698916021</v>
      </c>
      <c r="J6" s="118">
        <f t="shared" si="0"/>
        <v>4146.1422454657404</v>
      </c>
      <c r="K6" s="118">
        <f t="shared" si="0"/>
        <v>4408.5930496037217</v>
      </c>
      <c r="L6" s="118">
        <f>L4-L5</f>
        <v>4687.6569896436367</v>
      </c>
    </row>
    <row r="7" spans="2:14">
      <c r="C7" s="89"/>
      <c r="D7" s="89"/>
      <c r="E7" s="89"/>
      <c r="F7" s="89"/>
      <c r="G7" s="89"/>
      <c r="H7" s="89"/>
      <c r="I7" s="89"/>
      <c r="J7" s="89"/>
      <c r="K7" s="89"/>
      <c r="L7" s="89"/>
    </row>
    <row r="8" spans="2:14">
      <c r="B8" s="109" t="s">
        <v>240</v>
      </c>
      <c r="C8" s="133">
        <f>Input!C17</f>
        <v>1400.2</v>
      </c>
      <c r="D8" s="133">
        <f>Input!D17</f>
        <v>1458.2</v>
      </c>
      <c r="E8" s="133">
        <f>Input!E17</f>
        <v>1426</v>
      </c>
      <c r="F8" s="133">
        <f>Input!F17</f>
        <v>1559.8</v>
      </c>
      <c r="G8" s="133">
        <f>Input!G17</f>
        <v>1762.2</v>
      </c>
      <c r="H8" s="133">
        <f>Input!H17</f>
        <v>1959.3097886399296</v>
      </c>
      <c r="I8" s="133">
        <f>Input!I17</f>
        <v>2083.334098260837</v>
      </c>
      <c r="J8" s="133">
        <f>Input!J17</f>
        <v>2215.2091466807474</v>
      </c>
      <c r="K8" s="133">
        <f>Input!K17</f>
        <v>2355.4318856656387</v>
      </c>
      <c r="L8" s="133">
        <f>Input!L17</f>
        <v>2504.5307240282737</v>
      </c>
    </row>
    <row r="9" spans="2:14">
      <c r="B9" s="107" t="s">
        <v>182</v>
      </c>
      <c r="C9" s="137">
        <f>C6-C8</f>
        <v>1136.9000000000003</v>
      </c>
      <c r="D9" s="137">
        <f t="shared" ref="D9:L9" si="1">D6-D8</f>
        <v>1205.8999999999994</v>
      </c>
      <c r="E9" s="137">
        <f t="shared" si="1"/>
        <v>1304.2000000000003</v>
      </c>
      <c r="F9" s="137">
        <f t="shared" si="1"/>
        <v>1388.0999999999997</v>
      </c>
      <c r="G9" s="137">
        <f t="shared" si="1"/>
        <v>1630.2</v>
      </c>
      <c r="H9" s="137">
        <f t="shared" si="1"/>
        <v>1707.8731041387809</v>
      </c>
      <c r="I9" s="137">
        <f t="shared" si="1"/>
        <v>1815.9814716307651</v>
      </c>
      <c r="J9" s="137">
        <f t="shared" si="1"/>
        <v>1930.933098784993</v>
      </c>
      <c r="K9" s="137">
        <f t="shared" si="1"/>
        <v>2053.1611639380831</v>
      </c>
      <c r="L9" s="137">
        <f t="shared" si="1"/>
        <v>2183.1262656153631</v>
      </c>
    </row>
    <row r="10" spans="2:14">
      <c r="B10" s="107"/>
      <c r="C10" s="118"/>
      <c r="D10" s="118"/>
      <c r="E10" s="118"/>
      <c r="F10" s="118"/>
      <c r="G10" s="118"/>
      <c r="H10" s="118"/>
      <c r="I10" s="118"/>
      <c r="J10" s="118"/>
      <c r="K10" s="118"/>
      <c r="L10" s="118"/>
    </row>
    <row r="11" spans="2:14">
      <c r="B11" s="105" t="s">
        <v>95</v>
      </c>
      <c r="C11" s="114">
        <f>Input!C24</f>
        <v>134.1</v>
      </c>
      <c r="D11" s="114">
        <f>Input!D24</f>
        <v>144.6</v>
      </c>
      <c r="E11" s="114">
        <f>Input!E24</f>
        <v>153.30000000000001</v>
      </c>
      <c r="F11" s="114">
        <f>Input!F24</f>
        <v>159.9</v>
      </c>
      <c r="G11" s="114">
        <f>Input!G24</f>
        <v>165.9</v>
      </c>
      <c r="H11" s="114">
        <f>Input!H24</f>
        <v>184.47549243239436</v>
      </c>
      <c r="I11" s="114">
        <f>Input!I24</f>
        <v>194.9068063293976</v>
      </c>
      <c r="J11" s="114">
        <f>Input!J24</f>
        <v>207.70834088468533</v>
      </c>
      <c r="K11" s="114">
        <f>Input!K24</f>
        <v>223.13836890625561</v>
      </c>
      <c r="L11" s="114">
        <f>Input!L24</f>
        <v>241.4783633261456</v>
      </c>
    </row>
    <row r="12" spans="2:14">
      <c r="B12" s="105" t="s">
        <v>96</v>
      </c>
      <c r="C12" s="89">
        <f>Input!C27</f>
        <v>4.0999999999999996</v>
      </c>
      <c r="D12" s="89">
        <f>Input!D27</f>
        <v>4.0999999999999996</v>
      </c>
      <c r="E12" s="89">
        <f>Input!E27</f>
        <v>9.1</v>
      </c>
      <c r="F12" s="89">
        <f>Input!F27</f>
        <v>10.8</v>
      </c>
      <c r="G12" s="89">
        <f>Input!G27</f>
        <v>10.7</v>
      </c>
      <c r="H12" s="89">
        <f>Input!H27</f>
        <v>10.799999999999999</v>
      </c>
      <c r="I12" s="89">
        <f>Input!I27</f>
        <v>10.899999999999999</v>
      </c>
      <c r="J12" s="89">
        <f>Input!J27</f>
        <v>10.999999999999998</v>
      </c>
      <c r="K12" s="89">
        <f>Input!K27</f>
        <v>11.099999999999998</v>
      </c>
      <c r="L12" s="89">
        <f>Input!L27</f>
        <v>11.199999999999998</v>
      </c>
    </row>
    <row r="13" spans="2:14" s="34" customFormat="1" ht="13">
      <c r="B13" s="107" t="s">
        <v>184</v>
      </c>
      <c r="C13" s="118">
        <f>C9-C11-C12</f>
        <v>998.70000000000027</v>
      </c>
      <c r="D13" s="118">
        <f t="shared" ref="D13:L13" si="2">D9-D11-D12</f>
        <v>1057.1999999999996</v>
      </c>
      <c r="E13" s="118">
        <f t="shared" si="2"/>
        <v>1141.8000000000004</v>
      </c>
      <c r="F13" s="118">
        <f t="shared" si="2"/>
        <v>1217.3999999999996</v>
      </c>
      <c r="G13" s="118">
        <f t="shared" si="2"/>
        <v>1453.6</v>
      </c>
      <c r="H13" s="118">
        <f t="shared" si="2"/>
        <v>1512.5976117063867</v>
      </c>
      <c r="I13" s="118">
        <f t="shared" si="2"/>
        <v>1610.1746653013674</v>
      </c>
      <c r="J13" s="118">
        <f t="shared" si="2"/>
        <v>1712.2247579003076</v>
      </c>
      <c r="K13" s="118">
        <f t="shared" si="2"/>
        <v>1818.9227950318275</v>
      </c>
      <c r="L13" s="118">
        <f t="shared" si="2"/>
        <v>1930.4479022892174</v>
      </c>
    </row>
    <row r="14" spans="2:14">
      <c r="B14" s="111"/>
      <c r="C14" s="133"/>
      <c r="D14" s="133"/>
      <c r="E14" s="133"/>
      <c r="F14" s="133"/>
      <c r="G14" s="133"/>
      <c r="H14" s="114"/>
      <c r="I14" s="114"/>
      <c r="J14" s="114"/>
      <c r="K14" s="114"/>
      <c r="L14" s="114"/>
    </row>
    <row r="15" spans="2:14">
      <c r="B15" s="105" t="s">
        <v>152</v>
      </c>
      <c r="C15" s="89">
        <f>Input!C34</f>
        <v>0.4</v>
      </c>
      <c r="D15" s="89">
        <f>Input!D34</f>
        <v>0.4</v>
      </c>
      <c r="E15" s="89">
        <f>Input!E34</f>
        <v>0.6</v>
      </c>
      <c r="F15" s="89">
        <f>Input!F34</f>
        <v>0.1</v>
      </c>
      <c r="G15" s="89">
        <f>Input!G34</f>
        <v>0.7</v>
      </c>
      <c r="H15" s="89">
        <f ca="1">Input!H34</f>
        <v>15.101724331842282</v>
      </c>
      <c r="I15" s="89">
        <f ca="1">Input!I34</f>
        <v>21.308693724748281</v>
      </c>
      <c r="J15" s="89">
        <f ca="1">Input!J34</f>
        <v>28.273013059365635</v>
      </c>
      <c r="K15" s="89">
        <f ca="1">Input!K34</f>
        <v>33.232991729006287</v>
      </c>
      <c r="L15" s="89">
        <f ca="1">Input!L34</f>
        <v>35.746371316896536</v>
      </c>
    </row>
    <row r="16" spans="2:14">
      <c r="B16" s="105" t="s">
        <v>246</v>
      </c>
      <c r="C16" s="89">
        <f>Input!C39</f>
        <v>12.6</v>
      </c>
      <c r="D16" s="89">
        <f>Input!D39</f>
        <v>13.9</v>
      </c>
      <c r="E16" s="89">
        <f>Input!E39</f>
        <v>9.6999999999999993</v>
      </c>
      <c r="F16" s="89">
        <f>Input!F39</f>
        <v>9.6999999999999993</v>
      </c>
      <c r="G16" s="89">
        <f>Input!G39</f>
        <v>14.3</v>
      </c>
      <c r="H16" s="89">
        <f ca="1">Input!H39</f>
        <v>19.741504807237916</v>
      </c>
      <c r="I16" s="89">
        <f ca="1">Input!I39</f>
        <v>19.874802933741819</v>
      </c>
      <c r="J16" s="89">
        <f ca="1">Input!J39</f>
        <v>20.009001112734275</v>
      </c>
      <c r="K16" s="89">
        <f ca="1">Input!K39</f>
        <v>20.144105421528614</v>
      </c>
      <c r="L16" s="89">
        <f ca="1">Input!L39</f>
        <v>20.280121978473275</v>
      </c>
    </row>
    <row r="17" spans="2:13" s="34" customFormat="1" ht="13">
      <c r="B17" s="107" t="s">
        <v>249</v>
      </c>
      <c r="C17" s="118">
        <f>C13+C15-C16+0.5</f>
        <v>987.00000000000023</v>
      </c>
      <c r="D17" s="118">
        <f t="shared" ref="D17:L17" si="3">D13+D15-D16</f>
        <v>1043.6999999999996</v>
      </c>
      <c r="E17" s="118">
        <f t="shared" si="3"/>
        <v>1132.7000000000003</v>
      </c>
      <c r="F17" s="118">
        <f t="shared" si="3"/>
        <v>1207.7999999999995</v>
      </c>
      <c r="G17" s="118">
        <f t="shared" si="3"/>
        <v>1440</v>
      </c>
      <c r="H17" s="118">
        <f t="shared" ca="1" si="3"/>
        <v>1507.9578312309909</v>
      </c>
      <c r="I17" s="118">
        <f t="shared" ca="1" si="3"/>
        <v>1611.6085560923739</v>
      </c>
      <c r="J17" s="118">
        <f t="shared" ca="1" si="3"/>
        <v>1720.488769846939</v>
      </c>
      <c r="K17" s="118">
        <f t="shared" ca="1" si="3"/>
        <v>1832.0116813393051</v>
      </c>
      <c r="L17" s="118">
        <f t="shared" ca="1" si="3"/>
        <v>1945.9141516276406</v>
      </c>
    </row>
    <row r="18" spans="2:13">
      <c r="C18" s="114"/>
      <c r="D18" s="114"/>
      <c r="E18" s="114"/>
      <c r="F18" s="114"/>
      <c r="G18" s="114"/>
      <c r="H18" s="114"/>
      <c r="I18" s="114"/>
      <c r="J18" s="114"/>
      <c r="K18" s="114"/>
      <c r="L18" s="114"/>
    </row>
    <row r="19" spans="2:13">
      <c r="B19" s="105" t="s">
        <v>160</v>
      </c>
      <c r="C19" s="89">
        <f>Input!C48</f>
        <v>235.1</v>
      </c>
      <c r="D19" s="89">
        <f>Input!D48</f>
        <v>252.8</v>
      </c>
      <c r="E19" s="89">
        <f>Input!E48</f>
        <v>273.60000000000002</v>
      </c>
      <c r="F19" s="89">
        <f>Input!F48</f>
        <v>282.8</v>
      </c>
      <c r="G19" s="89">
        <f>Input!G48</f>
        <v>353.1</v>
      </c>
      <c r="H19" s="89">
        <f ca="1">Input!H48</f>
        <v>362.30543406995321</v>
      </c>
      <c r="I19" s="89">
        <f ca="1">Input!I48</f>
        <v>387.20879680650455</v>
      </c>
      <c r="J19" s="89">
        <f ca="1">Input!J48</f>
        <v>413.36860863212735</v>
      </c>
      <c r="K19" s="89">
        <f ca="1">Input!K48</f>
        <v>440.1633611246441</v>
      </c>
      <c r="L19" s="89">
        <f ca="1">Input!L48</f>
        <v>467.52983191366309</v>
      </c>
    </row>
    <row r="20" spans="2:13">
      <c r="B20" s="107" t="s">
        <v>94</v>
      </c>
      <c r="C20" s="118">
        <f>C17-C19</f>
        <v>751.9000000000002</v>
      </c>
      <c r="D20" s="118">
        <f t="shared" ref="D20:L20" si="4">D17-D19</f>
        <v>790.89999999999964</v>
      </c>
      <c r="E20" s="118">
        <f t="shared" si="4"/>
        <v>859.10000000000025</v>
      </c>
      <c r="F20" s="118">
        <f t="shared" si="4"/>
        <v>924.99999999999955</v>
      </c>
      <c r="G20" s="118">
        <f t="shared" si="4"/>
        <v>1086.9000000000001</v>
      </c>
      <c r="H20" s="118">
        <f t="shared" ca="1" si="4"/>
        <v>1145.6523971610377</v>
      </c>
      <c r="I20" s="118">
        <f t="shared" ca="1" si="4"/>
        <v>1224.3997592858693</v>
      </c>
      <c r="J20" s="118">
        <f t="shared" ca="1" si="4"/>
        <v>1307.1201612148116</v>
      </c>
      <c r="K20" s="118">
        <f t="shared" ca="1" si="4"/>
        <v>1391.848320214661</v>
      </c>
      <c r="L20" s="118">
        <f t="shared" ca="1" si="4"/>
        <v>1478.3843197139777</v>
      </c>
    </row>
    <row r="21" spans="2:13">
      <c r="B21" s="111"/>
      <c r="C21" s="133"/>
      <c r="D21" s="133"/>
      <c r="E21" s="133"/>
      <c r="F21" s="133"/>
      <c r="G21" s="133"/>
      <c r="H21" s="114"/>
      <c r="I21" s="114"/>
      <c r="J21" s="114"/>
      <c r="K21" s="114"/>
      <c r="L21" s="114"/>
    </row>
    <row r="22" spans="2:13">
      <c r="B22" s="105" t="s">
        <v>254</v>
      </c>
      <c r="C22" s="89">
        <f>Input!C57</f>
        <v>544.9</v>
      </c>
      <c r="D22" s="89">
        <f>Input!D57</f>
        <v>498.6</v>
      </c>
      <c r="E22" s="89">
        <f>Input!E57</f>
        <v>625.9</v>
      </c>
      <c r="F22" s="89">
        <f>Input!F57</f>
        <v>643.70000000000005</v>
      </c>
      <c r="G22" s="89">
        <f>Input!G57</f>
        <v>949.09999999999991</v>
      </c>
      <c r="H22" s="89">
        <f>Input!H57</f>
        <v>782.34546622600737</v>
      </c>
      <c r="I22" s="89">
        <f>Input!I57</f>
        <v>991.42036907688589</v>
      </c>
      <c r="J22" s="89">
        <f>Input!J57</f>
        <v>946.43347555212245</v>
      </c>
      <c r="K22" s="89">
        <f>Input!K57</f>
        <v>1171.8976784517445</v>
      </c>
      <c r="L22" s="89">
        <f>Input!L57</f>
        <v>1144.9370672097762</v>
      </c>
    </row>
    <row r="23" spans="2:13">
      <c r="B23" s="107" t="s">
        <v>289</v>
      </c>
      <c r="C23" s="118">
        <f>C20-C22</f>
        <v>207.00000000000023</v>
      </c>
      <c r="D23" s="118">
        <f t="shared" ref="D23:L23" si="5">D20-D22</f>
        <v>292.29999999999961</v>
      </c>
      <c r="E23" s="118">
        <f t="shared" si="5"/>
        <v>233.20000000000027</v>
      </c>
      <c r="F23" s="118">
        <f t="shared" si="5"/>
        <v>281.2999999999995</v>
      </c>
      <c r="G23" s="118">
        <f t="shared" si="5"/>
        <v>137.80000000000018</v>
      </c>
      <c r="H23" s="118">
        <f t="shared" ca="1" si="5"/>
        <v>363.30693093503032</v>
      </c>
      <c r="I23" s="118">
        <f t="shared" ca="1" si="5"/>
        <v>232.97939020898343</v>
      </c>
      <c r="J23" s="118">
        <f t="shared" ca="1" si="5"/>
        <v>360.68668566268911</v>
      </c>
      <c r="K23" s="118">
        <f t="shared" ca="1" si="5"/>
        <v>219.95064176291658</v>
      </c>
      <c r="L23" s="118">
        <f t="shared" ca="1" si="5"/>
        <v>333.44725250420151</v>
      </c>
    </row>
    <row r="24" spans="2:13">
      <c r="C24" s="50"/>
      <c r="D24" s="50"/>
      <c r="E24" s="50"/>
      <c r="F24" s="50"/>
      <c r="G24" s="50"/>
      <c r="H24" s="50"/>
      <c r="I24" s="50"/>
      <c r="J24" s="50"/>
      <c r="K24" s="50"/>
      <c r="L24" s="50"/>
    </row>
    <row r="25" spans="2:13">
      <c r="K25" s="32"/>
      <c r="L25" s="32"/>
    </row>
    <row r="26" spans="2:13" ht="15" thickBot="1">
      <c r="B26" s="107" t="str">
        <f>Output!B26</f>
        <v>BALANCE SHEET</v>
      </c>
      <c r="C26" s="71">
        <f>Output!C26</f>
        <v>43465</v>
      </c>
      <c r="D26" s="71">
        <f>Output!D26</f>
        <v>43830</v>
      </c>
      <c r="E26" s="71">
        <f>Output!E26</f>
        <v>44196</v>
      </c>
      <c r="F26" s="71">
        <f>Output!F26</f>
        <v>44561</v>
      </c>
      <c r="G26" s="71">
        <f>Output!G26</f>
        <v>44926</v>
      </c>
      <c r="H26" s="71">
        <f>Output!H26</f>
        <v>45291</v>
      </c>
      <c r="I26" s="71">
        <f>Output!I26</f>
        <v>45657</v>
      </c>
      <c r="J26" s="71">
        <f>Output!J26</f>
        <v>46022</v>
      </c>
      <c r="K26" s="71">
        <f>Output!K26</f>
        <v>46387</v>
      </c>
      <c r="L26" s="71">
        <f>Output!L26</f>
        <v>46752</v>
      </c>
    </row>
    <row r="27" spans="2:13" ht="15" thickTop="1">
      <c r="B27" s="34" t="str">
        <f>Output!B27</f>
        <v>ASSETS</v>
      </c>
      <c r="C27" s="110"/>
      <c r="D27" s="110"/>
      <c r="E27" s="110"/>
      <c r="F27" s="110"/>
      <c r="G27" s="110"/>
      <c r="H27" s="110"/>
      <c r="I27" s="110"/>
      <c r="J27" s="110"/>
      <c r="K27" s="110"/>
      <c r="L27" s="110"/>
    </row>
    <row r="28" spans="2:13">
      <c r="B28" s="32" t="str">
        <f>Input!B65</f>
        <v>Surplus funds</v>
      </c>
      <c r="C28" s="214">
        <f>Input!C65</f>
        <v>0</v>
      </c>
      <c r="D28" s="214">
        <f>Input!D65</f>
        <v>0</v>
      </c>
      <c r="E28" s="214">
        <f>Input!E65</f>
        <v>0</v>
      </c>
      <c r="F28" s="214">
        <f>Input!F65</f>
        <v>0</v>
      </c>
      <c r="G28" s="214">
        <f>Input!G65</f>
        <v>0</v>
      </c>
      <c r="H28" s="214">
        <f ca="1">Input!H65</f>
        <v>118.30055686912874</v>
      </c>
      <c r="I28" s="214">
        <f ca="1">Input!I65</f>
        <v>196.83734125247338</v>
      </c>
      <c r="J28" s="214">
        <f ca="1">Input!J65</f>
        <v>368.39136868255355</v>
      </c>
      <c r="K28" s="214">
        <f ca="1">Input!K65</f>
        <v>362.54652117262322</v>
      </c>
      <c r="L28" s="214">
        <f ca="1">Input!L65</f>
        <v>431.45199987449087</v>
      </c>
      <c r="M28" s="173"/>
    </row>
    <row r="29" spans="2:13">
      <c r="B29" s="32" t="str">
        <f>Input!B71</f>
        <v>Cash &amp; Short-term Investments</v>
      </c>
      <c r="C29" s="214">
        <f>Input!C71</f>
        <v>167.2</v>
      </c>
      <c r="D29" s="214">
        <f>Input!D71</f>
        <v>174.9</v>
      </c>
      <c r="E29" s="214">
        <f>Input!E71</f>
        <v>245.7</v>
      </c>
      <c r="F29" s="214">
        <f>Input!F71</f>
        <v>236.2</v>
      </c>
      <c r="G29" s="214">
        <f>Input!G71</f>
        <v>230.1</v>
      </c>
      <c r="H29" s="214">
        <f>Input!H71</f>
        <v>270.52257148506305</v>
      </c>
      <c r="I29" s="214">
        <f>Input!I71</f>
        <v>287.64665026006753</v>
      </c>
      <c r="J29" s="214">
        <f>Input!J71</f>
        <v>305.8546832215298</v>
      </c>
      <c r="K29" s="214">
        <f>Input!K71</f>
        <v>325.21528466945261</v>
      </c>
      <c r="L29" s="214">
        <f>Input!L71</f>
        <v>345.80141218902895</v>
      </c>
      <c r="M29" s="173"/>
    </row>
    <row r="30" spans="2:13">
      <c r="B30" s="32" t="str">
        <f>Input!B78</f>
        <v>Accounts receivable</v>
      </c>
      <c r="C30" s="214">
        <f>Input!C78</f>
        <v>714.3</v>
      </c>
      <c r="D30" s="214">
        <f>Input!D78</f>
        <v>741.8</v>
      </c>
      <c r="E30" s="214">
        <f>Input!E78</f>
        <v>769.4</v>
      </c>
      <c r="F30" s="214">
        <f>Input!F78</f>
        <v>900.2</v>
      </c>
      <c r="G30" s="214">
        <f>Input!G78</f>
        <v>1013.2</v>
      </c>
      <c r="H30" s="214">
        <f>Input!H78</f>
        <v>1060.0634817673747</v>
      </c>
      <c r="I30" s="214">
        <f>Input!I78</f>
        <v>1127.1655001632494</v>
      </c>
      <c r="J30" s="214">
        <f>Input!J78</f>
        <v>1198.5150763235829</v>
      </c>
      <c r="K30" s="214">
        <f>Input!K78</f>
        <v>1274.3810806548656</v>
      </c>
      <c r="L30" s="214">
        <f>Input!L78</f>
        <v>1355.0494030603186</v>
      </c>
      <c r="M30" s="173"/>
    </row>
    <row r="31" spans="2:13">
      <c r="B31" s="32" t="str">
        <f>Input!B83</f>
        <v>Inventory</v>
      </c>
      <c r="C31" s="214">
        <f>Input!C83</f>
        <v>1278.7</v>
      </c>
      <c r="D31" s="214">
        <f>Input!D83</f>
        <v>1366.4</v>
      </c>
      <c r="E31" s="214">
        <f>Input!E83</f>
        <v>1337.5</v>
      </c>
      <c r="F31" s="214">
        <f>Input!F83</f>
        <v>1523.6</v>
      </c>
      <c r="G31" s="214">
        <f>Input!G83</f>
        <v>1708</v>
      </c>
      <c r="H31" s="214">
        <f>Input!H83</f>
        <v>1855.4231800699563</v>
      </c>
      <c r="I31" s="214">
        <f>Input!I83</f>
        <v>1972.8714673683844</v>
      </c>
      <c r="J31" s="214">
        <f>Input!J83</f>
        <v>2097.754231252803</v>
      </c>
      <c r="K31" s="214">
        <f>Input!K83</f>
        <v>2230.5420740911054</v>
      </c>
      <c r="L31" s="214">
        <f>Input!L83</f>
        <v>2371.7353873810721</v>
      </c>
      <c r="M31" s="173"/>
    </row>
    <row r="32" spans="2:13">
      <c r="B32" s="32" t="str">
        <f>Input!B87</f>
        <v>Other current assets</v>
      </c>
      <c r="C32" s="214">
        <f>Input!C87</f>
        <v>156</v>
      </c>
      <c r="D32" s="214">
        <f>Input!D87</f>
        <v>174.1</v>
      </c>
      <c r="E32" s="214">
        <f>Input!E87</f>
        <v>147</v>
      </c>
      <c r="F32" s="214">
        <f>Input!F87</f>
        <v>196.6</v>
      </c>
      <c r="G32" s="214">
        <f>Input!G87</f>
        <v>173.5</v>
      </c>
      <c r="H32" s="214">
        <f>Input!H87</f>
        <v>219.18974892597865</v>
      </c>
      <c r="I32" s="214">
        <f>Input!I87</f>
        <v>233.06446003299305</v>
      </c>
      <c r="J32" s="214">
        <f>Input!J87</f>
        <v>247.81744035308151</v>
      </c>
      <c r="K32" s="214">
        <f>Input!K87</f>
        <v>263.50428432743155</v>
      </c>
      <c r="L32" s="214">
        <f>Input!L87</f>
        <v>280.18410552535795</v>
      </c>
      <c r="M32" s="173"/>
    </row>
    <row r="33" spans="2:13">
      <c r="B33" s="107" t="str">
        <f>Input!B88</f>
        <v>Current assets</v>
      </c>
      <c r="C33" s="215">
        <f>Input!C88</f>
        <v>2316.1999999999998</v>
      </c>
      <c r="D33" s="215">
        <f>Input!D88</f>
        <v>2457.1999999999998</v>
      </c>
      <c r="E33" s="215">
        <f>Input!E88</f>
        <v>2499.6</v>
      </c>
      <c r="F33" s="215">
        <f>Input!F88</f>
        <v>2856.6</v>
      </c>
      <c r="G33" s="215">
        <f>Input!G88</f>
        <v>3124.8</v>
      </c>
      <c r="H33" s="215">
        <f ca="1">Input!H88</f>
        <v>3523.4995391175012</v>
      </c>
      <c r="I33" s="215">
        <f ca="1">Input!I88</f>
        <v>3817.5854190771674</v>
      </c>
      <c r="J33" s="215">
        <f ca="1">Input!J88</f>
        <v>4218.3327998335508</v>
      </c>
      <c r="K33" s="215">
        <f ca="1">Input!K88</f>
        <v>4456.1892449154784</v>
      </c>
      <c r="L33" s="215">
        <f ca="1">Input!L88</f>
        <v>4784.2223080302692</v>
      </c>
      <c r="M33" s="173"/>
    </row>
    <row r="34" spans="2:13">
      <c r="C34" s="214"/>
      <c r="D34" s="214"/>
      <c r="E34" s="214"/>
      <c r="F34" s="214"/>
      <c r="G34" s="214"/>
      <c r="H34" s="214"/>
      <c r="I34" s="214"/>
      <c r="J34" s="214"/>
      <c r="K34" s="214"/>
      <c r="L34" s="214"/>
      <c r="M34" s="173"/>
    </row>
    <row r="35" spans="2:13">
      <c r="B35" s="32" t="str">
        <f>Input!B90</f>
        <v>Gross PPE</v>
      </c>
      <c r="C35" s="214">
        <f>Input!C90</f>
        <v>1746.2</v>
      </c>
      <c r="D35" s="214">
        <f>Input!D90</f>
        <v>2210.1</v>
      </c>
      <c r="E35" s="214">
        <f>Input!E90</f>
        <v>2327.6</v>
      </c>
      <c r="F35" s="214">
        <f>Input!F90</f>
        <v>2439.5</v>
      </c>
      <c r="G35" s="214">
        <f>Input!G90</f>
        <v>2554.4</v>
      </c>
      <c r="H35" s="214">
        <f>Input!H90</f>
        <v>2698.84058594</v>
      </c>
      <c r="I35" s="214">
        <f>Input!I90</f>
        <v>2876.1012043390037</v>
      </c>
      <c r="J35" s="214">
        <f>Input!J90</f>
        <v>3089.7581137669245</v>
      </c>
      <c r="K35" s="214">
        <f>Input!K90</f>
        <v>3343.708820868766</v>
      </c>
      <c r="L35" s="214">
        <f>Input!L90</f>
        <v>3642.1984206962288</v>
      </c>
      <c r="M35" s="173"/>
    </row>
    <row r="36" spans="2:13">
      <c r="B36" s="32" t="str">
        <f>Input!B94</f>
        <v>Accmulated depreciation</v>
      </c>
      <c r="C36" s="214">
        <f>Input!C94</f>
        <v>821.4</v>
      </c>
      <c r="D36" s="214">
        <f>Input!D94</f>
        <v>943.7</v>
      </c>
      <c r="E36" s="214">
        <f>Input!E94</f>
        <v>1053.9000000000001</v>
      </c>
      <c r="F36" s="214">
        <f>Input!F94</f>
        <v>1178</v>
      </c>
      <c r="G36" s="214">
        <f>Input!G94</f>
        <v>1301.4000000000001</v>
      </c>
      <c r="H36" s="214">
        <f>Input!H94</f>
        <v>1485.8754924323944</v>
      </c>
      <c r="I36" s="214">
        <f>Input!I94</f>
        <v>1680.7822987617919</v>
      </c>
      <c r="J36" s="214">
        <f>Input!J94</f>
        <v>1888.4906396464773</v>
      </c>
      <c r="K36" s="214">
        <f>Input!K94</f>
        <v>2111.629008552733</v>
      </c>
      <c r="L36" s="214">
        <f>Input!L94</f>
        <v>2353.1073718788784</v>
      </c>
      <c r="M36" s="173"/>
    </row>
    <row r="37" spans="2:13">
      <c r="B37" s="32" t="str">
        <f>Input!B99</f>
        <v>Long-term assets</v>
      </c>
      <c r="C37" s="214">
        <f>Input!C99</f>
        <v>80.5</v>
      </c>
      <c r="D37" s="214">
        <f>Input!D99</f>
        <v>76.3</v>
      </c>
      <c r="E37" s="214">
        <f>Input!E99</f>
        <v>191.4</v>
      </c>
      <c r="F37" s="214">
        <f>Input!F99</f>
        <v>180.9</v>
      </c>
      <c r="G37" s="214">
        <f>Input!G99</f>
        <v>170.8</v>
      </c>
      <c r="H37" s="214">
        <f>Input!H99</f>
        <v>218.85267527890923</v>
      </c>
      <c r="I37" s="214">
        <f>Input!I99</f>
        <v>232.70604962406415</v>
      </c>
      <c r="J37" s="214">
        <f>Input!J99</f>
        <v>247.43634256526741</v>
      </c>
      <c r="K37" s="214">
        <f>Input!K99</f>
        <v>263.09906304964881</v>
      </c>
      <c r="L37" s="214">
        <f>Input!L99</f>
        <v>279.75323374069154</v>
      </c>
      <c r="M37" s="173"/>
    </row>
    <row r="38" spans="2:13">
      <c r="B38" s="34" t="str">
        <f>Output!B38</f>
        <v>Total assets</v>
      </c>
      <c r="C38" s="215">
        <f>C33+C35-C36+C37</f>
        <v>3321.4999999999995</v>
      </c>
      <c r="D38" s="215">
        <f t="shared" ref="D38:L38" si="6">D33+D35-D36+D37</f>
        <v>3799.8999999999996</v>
      </c>
      <c r="E38" s="215">
        <f t="shared" si="6"/>
        <v>3964.7</v>
      </c>
      <c r="F38" s="215">
        <f t="shared" si="6"/>
        <v>4299</v>
      </c>
      <c r="G38" s="215">
        <f t="shared" si="6"/>
        <v>4548.6000000000013</v>
      </c>
      <c r="H38" s="215">
        <f t="shared" ca="1" si="6"/>
        <v>4955.3173079040153</v>
      </c>
      <c r="I38" s="215">
        <f t="shared" ca="1" si="6"/>
        <v>5245.6103742784435</v>
      </c>
      <c r="J38" s="215">
        <f t="shared" ca="1" si="6"/>
        <v>5667.0366165192654</v>
      </c>
      <c r="K38" s="215">
        <f t="shared" ca="1" si="6"/>
        <v>5951.3681202811604</v>
      </c>
      <c r="L38" s="215">
        <f t="shared" ca="1" si="6"/>
        <v>6353.0665905883116</v>
      </c>
      <c r="M38" s="173"/>
    </row>
    <row r="39" spans="2:13">
      <c r="C39" s="114"/>
      <c r="D39" s="114"/>
      <c r="E39" s="114"/>
      <c r="F39" s="114"/>
      <c r="G39" s="114"/>
      <c r="H39" s="114"/>
      <c r="I39" s="114"/>
      <c r="J39" s="114"/>
      <c r="K39" s="114"/>
      <c r="L39" s="114"/>
      <c r="M39" s="173"/>
    </row>
    <row r="40" spans="2:13">
      <c r="B40" s="34" t="str">
        <f>Output!B40</f>
        <v>LIABILITIES</v>
      </c>
      <c r="C40" s="89"/>
      <c r="D40" s="89"/>
      <c r="E40" s="89"/>
      <c r="F40" s="89"/>
      <c r="G40" s="89"/>
      <c r="H40" s="89"/>
      <c r="I40" s="89"/>
      <c r="J40" s="89"/>
      <c r="K40" s="89"/>
      <c r="L40" s="89"/>
      <c r="M40" s="173"/>
    </row>
    <row r="41" spans="2:13">
      <c r="B41" s="32" t="str">
        <f>Input!B106</f>
        <v>Accounts payable</v>
      </c>
      <c r="C41" s="214">
        <f>Input!C106</f>
        <v>193.6</v>
      </c>
      <c r="D41" s="214">
        <f>Input!D106</f>
        <v>192.8</v>
      </c>
      <c r="E41" s="214">
        <f>Input!E106</f>
        <v>207</v>
      </c>
      <c r="F41" s="214">
        <f>Input!F106</f>
        <v>233.1</v>
      </c>
      <c r="G41" s="214">
        <f>Input!G106</f>
        <v>255</v>
      </c>
      <c r="H41" s="214">
        <f>Input!H106</f>
        <v>277.95597251269641</v>
      </c>
      <c r="I41" s="214">
        <f>Input!I106</f>
        <v>295.55058557275009</v>
      </c>
      <c r="J41" s="214">
        <f>Input!J106</f>
        <v>314.25893763950512</v>
      </c>
      <c r="K41" s="214">
        <f>Input!K106</f>
        <v>334.15152839208577</v>
      </c>
      <c r="L41" s="214">
        <f>Input!L106</f>
        <v>355.30332013930479</v>
      </c>
      <c r="M41" s="173"/>
    </row>
    <row r="42" spans="2:13">
      <c r="B42" s="36" t="str">
        <f>Input!B110</f>
        <v>Accrued Exp.</v>
      </c>
      <c r="C42" s="216">
        <f>Input!C110</f>
        <v>240.8</v>
      </c>
      <c r="D42" s="216">
        <f>Input!D110</f>
        <v>251.5</v>
      </c>
      <c r="E42" s="216">
        <f>Input!E110</f>
        <v>272.10000000000002</v>
      </c>
      <c r="F42" s="216">
        <f>Input!F110</f>
        <v>298.3</v>
      </c>
      <c r="G42" s="216">
        <f>Input!G110</f>
        <v>241.1</v>
      </c>
      <c r="H42" s="216">
        <f>Input!H110</f>
        <v>338.46314173795116</v>
      </c>
      <c r="I42" s="216">
        <f>Input!I110</f>
        <v>359.88785860996342</v>
      </c>
      <c r="J42" s="216">
        <f>Input!J110</f>
        <v>382.66876005997409</v>
      </c>
      <c r="K42" s="216">
        <f>Input!K110</f>
        <v>406.89169257177042</v>
      </c>
      <c r="L42" s="216">
        <f>Input!L110</f>
        <v>432.64793671156349</v>
      </c>
      <c r="M42" s="173"/>
    </row>
    <row r="43" spans="2:13">
      <c r="B43" s="36" t="str">
        <f>Input!B114</f>
        <v>Curr. Port. of LT Debt</v>
      </c>
      <c r="C43" s="216">
        <f>Input!C114</f>
        <v>3</v>
      </c>
      <c r="D43" s="216">
        <f>Input!D114</f>
        <v>100.4</v>
      </c>
      <c r="E43" s="216">
        <f>Input!E114</f>
        <v>133.6</v>
      </c>
      <c r="F43" s="216">
        <f>Input!F114</f>
        <v>150.80000000000001</v>
      </c>
      <c r="G43" s="216">
        <f>Input!G114</f>
        <v>293.70000000000005</v>
      </c>
      <c r="H43" s="216">
        <f>Input!H114</f>
        <v>163.6606836801385</v>
      </c>
      <c r="I43" s="216">
        <f>Input!I114</f>
        <v>174.02040495709127</v>
      </c>
      <c r="J43" s="216">
        <f>Input!J114</f>
        <v>185.03589659087513</v>
      </c>
      <c r="K43" s="216">
        <f>Input!K114</f>
        <v>196.7486688450775</v>
      </c>
      <c r="L43" s="216">
        <f>Input!L114</f>
        <v>209.20285958297092</v>
      </c>
      <c r="M43" s="173"/>
    </row>
    <row r="44" spans="2:13">
      <c r="B44" s="34" t="str">
        <f>Input!B115</f>
        <v>Current liabilities</v>
      </c>
      <c r="C44" s="215">
        <f>SUM(C41:C43)</f>
        <v>437.4</v>
      </c>
      <c r="D44" s="215">
        <f t="shared" ref="D44:L44" si="7">SUM(D41:D43)</f>
        <v>544.70000000000005</v>
      </c>
      <c r="E44" s="215">
        <f t="shared" si="7"/>
        <v>612.70000000000005</v>
      </c>
      <c r="F44" s="215">
        <f t="shared" si="7"/>
        <v>682.2</v>
      </c>
      <c r="G44" s="215">
        <f t="shared" si="7"/>
        <v>789.80000000000007</v>
      </c>
      <c r="H44" s="215">
        <f t="shared" si="7"/>
        <v>780.07979793078607</v>
      </c>
      <c r="I44" s="215">
        <f t="shared" si="7"/>
        <v>829.45884913980478</v>
      </c>
      <c r="J44" s="215">
        <f t="shared" si="7"/>
        <v>881.96359429035442</v>
      </c>
      <c r="K44" s="215">
        <f t="shared" si="7"/>
        <v>937.79188980893366</v>
      </c>
      <c r="L44" s="215">
        <f t="shared" si="7"/>
        <v>997.15411643383914</v>
      </c>
      <c r="M44" s="173"/>
    </row>
    <row r="45" spans="2:13">
      <c r="B45" s="171"/>
      <c r="C45" s="118"/>
      <c r="D45" s="118"/>
      <c r="E45" s="118"/>
      <c r="F45" s="118"/>
      <c r="G45" s="118"/>
      <c r="H45" s="118"/>
      <c r="I45" s="118"/>
      <c r="J45" s="118"/>
      <c r="K45" s="118"/>
      <c r="L45" s="118"/>
      <c r="M45" s="173"/>
    </row>
    <row r="46" spans="2:13">
      <c r="B46" s="32" t="str">
        <f>Input!B123</f>
        <v>Long term debt</v>
      </c>
      <c r="C46" s="214">
        <f>Input!C123</f>
        <v>497</v>
      </c>
      <c r="D46" s="214">
        <f>Input!D123</f>
        <v>490.2</v>
      </c>
      <c r="E46" s="214">
        <f>Input!E123</f>
        <v>516.5</v>
      </c>
      <c r="F46" s="214">
        <f>Input!F123</f>
        <v>486</v>
      </c>
      <c r="G46" s="214">
        <f>Input!G123</f>
        <v>508.4</v>
      </c>
      <c r="H46" s="214">
        <f>Input!H123</f>
        <v>511.832806575603</v>
      </c>
      <c r="I46" s="214">
        <f>Input!I123</f>
        <v>515.2887920673852</v>
      </c>
      <c r="J46" s="214">
        <f>Input!J123</f>
        <v>518.76811298348173</v>
      </c>
      <c r="K46" s="214">
        <f>Input!K123</f>
        <v>522.27092688879816</v>
      </c>
      <c r="L46" s="214">
        <f>Input!L123</f>
        <v>525.79739241214622</v>
      </c>
      <c r="M46" s="173"/>
    </row>
    <row r="47" spans="2:13">
      <c r="B47" s="36" t="str">
        <f>Input!B129</f>
        <v>Def. Tax Liability, Non-Curr.</v>
      </c>
      <c r="C47" s="216">
        <f>Input!C129</f>
        <v>84.4</v>
      </c>
      <c r="D47" s="216">
        <f>Input!D129</f>
        <v>99.4</v>
      </c>
      <c r="E47" s="216">
        <f>Input!E129</f>
        <v>102.3</v>
      </c>
      <c r="F47" s="216">
        <f>Input!F129</f>
        <v>88.6</v>
      </c>
      <c r="G47" s="216">
        <f>Input!G129</f>
        <v>83.7</v>
      </c>
      <c r="H47" s="216">
        <f>Input!H129</f>
        <v>119.47208406176128</v>
      </c>
      <c r="I47" s="216">
        <f>Input!I129</f>
        <v>127.03466698287076</v>
      </c>
      <c r="J47" s="216">
        <f>Input!J129</f>
        <v>135.07596140288646</v>
      </c>
      <c r="K47" s="216">
        <f>Input!K129</f>
        <v>143.62626975968917</v>
      </c>
      <c r="L47" s="216">
        <f>Input!L129</f>
        <v>152.71781263547749</v>
      </c>
      <c r="M47" s="173"/>
    </row>
    <row r="48" spans="2:13">
      <c r="B48" s="32" t="str">
        <f>Input!B133</f>
        <v>Other long term liabilities</v>
      </c>
      <c r="C48" s="214">
        <f>Input!C133</f>
        <v>0</v>
      </c>
      <c r="D48" s="214">
        <f>Input!D133</f>
        <v>0</v>
      </c>
      <c r="E48" s="214">
        <f>Input!E133</f>
        <v>0</v>
      </c>
      <c r="F48" s="214">
        <f>Input!F133</f>
        <v>0</v>
      </c>
      <c r="G48" s="214">
        <f>Input!G133</f>
        <v>3.5</v>
      </c>
      <c r="H48" s="214">
        <f>Input!H133</f>
        <v>3.5</v>
      </c>
      <c r="I48" s="214">
        <f>Input!I133</f>
        <v>3.5</v>
      </c>
      <c r="J48" s="214">
        <f>Input!J133</f>
        <v>3.5</v>
      </c>
      <c r="K48" s="214">
        <f>Input!K133</f>
        <v>3.5</v>
      </c>
      <c r="L48" s="214">
        <f>Input!L133</f>
        <v>3.5</v>
      </c>
      <c r="M48" s="173"/>
    </row>
    <row r="49" spans="2:13">
      <c r="B49" s="34" t="str">
        <f>Output!B49</f>
        <v>Total Liabilities</v>
      </c>
      <c r="C49" s="217">
        <f>C44+C46+C47+C48</f>
        <v>1018.8</v>
      </c>
      <c r="D49" s="217">
        <f t="shared" ref="D49:L49" si="8">D44+D46+D47+D48</f>
        <v>1134.3000000000002</v>
      </c>
      <c r="E49" s="217">
        <f t="shared" si="8"/>
        <v>1231.5</v>
      </c>
      <c r="F49" s="217">
        <f t="shared" si="8"/>
        <v>1256.8</v>
      </c>
      <c r="G49" s="217">
        <f t="shared" si="8"/>
        <v>1385.4</v>
      </c>
      <c r="H49" s="217">
        <f t="shared" si="8"/>
        <v>1414.8846885681503</v>
      </c>
      <c r="I49" s="217">
        <f t="shared" si="8"/>
        <v>1475.2823081900608</v>
      </c>
      <c r="J49" s="217">
        <f t="shared" si="8"/>
        <v>1539.3076686767224</v>
      </c>
      <c r="K49" s="217">
        <f t="shared" si="8"/>
        <v>1607.1890864574209</v>
      </c>
      <c r="L49" s="217">
        <f t="shared" si="8"/>
        <v>1679.1693214814627</v>
      </c>
      <c r="M49" s="137"/>
    </row>
    <row r="50" spans="2:13">
      <c r="C50" s="50"/>
      <c r="D50" s="50"/>
      <c r="E50" s="50"/>
      <c r="F50" s="50"/>
      <c r="G50" s="50"/>
      <c r="H50" s="50"/>
      <c r="I50" s="50"/>
      <c r="J50" s="50"/>
      <c r="K50" s="50"/>
      <c r="L50" s="50"/>
    </row>
    <row r="51" spans="2:13">
      <c r="B51" s="34" t="str">
        <f>Output!B51</f>
        <v>EQUITY</v>
      </c>
      <c r="C51" s="108"/>
      <c r="D51" s="108"/>
      <c r="E51" s="108"/>
      <c r="F51" s="108"/>
      <c r="G51" s="108"/>
      <c r="H51" s="108"/>
      <c r="I51" s="108"/>
      <c r="J51" s="108"/>
      <c r="K51" s="108"/>
      <c r="L51" s="108"/>
    </row>
    <row r="52" spans="2:13">
      <c r="B52" s="32" t="str">
        <f>Input!B139</f>
        <v>Common stock</v>
      </c>
      <c r="C52" s="214">
        <f>Input!C139</f>
        <v>2.9</v>
      </c>
      <c r="D52" s="214">
        <f>Input!D139</f>
        <v>2.9</v>
      </c>
      <c r="E52" s="214">
        <f>Input!E139</f>
        <v>5.7</v>
      </c>
      <c r="F52" s="214">
        <f>Input!F139</f>
        <v>5.8</v>
      </c>
      <c r="G52" s="214">
        <f>Input!G139</f>
        <v>5.7</v>
      </c>
      <c r="H52" s="214">
        <f>Input!H139</f>
        <v>5.8140000000000001</v>
      </c>
      <c r="I52" s="214">
        <f>Input!I139</f>
        <v>5.9302799999999998</v>
      </c>
      <c r="J52" s="214">
        <f>Input!J139</f>
        <v>6.0488856000000002</v>
      </c>
      <c r="K52" s="214">
        <f>Input!K139</f>
        <v>6.1698633120000004</v>
      </c>
      <c r="L52" s="214">
        <f>Input!L139</f>
        <v>6.2932605782400008</v>
      </c>
    </row>
    <row r="53" spans="2:13">
      <c r="B53" s="36" t="str">
        <f>Input!B143</f>
        <v>Additional Paid In Capital</v>
      </c>
      <c r="C53" s="216">
        <f>Input!C143</f>
        <v>3</v>
      </c>
      <c r="D53" s="216">
        <f>Input!D143</f>
        <v>67.2</v>
      </c>
      <c r="E53" s="216">
        <f>Input!E143</f>
        <v>59.1</v>
      </c>
      <c r="F53" s="216">
        <f>Input!F143</f>
        <v>96.2</v>
      </c>
      <c r="G53" s="216">
        <f>Input!G143</f>
        <v>3.6</v>
      </c>
      <c r="H53" s="216">
        <f>Input!H143</f>
        <v>3.6289357223098215</v>
      </c>
      <c r="I53" s="216">
        <f>Input!I143</f>
        <v>3.6581040212934179</v>
      </c>
      <c r="J53" s="216">
        <f>Input!J143</f>
        <v>3.6875067663324699</v>
      </c>
      <c r="K53" s="216">
        <f>Input!K143</f>
        <v>3.7171458418341876</v>
      </c>
      <c r="L53" s="216">
        <f>Input!L143</f>
        <v>3.7470231473520821</v>
      </c>
    </row>
    <row r="54" spans="2:13">
      <c r="B54" s="32" t="str">
        <f>Input!B147</f>
        <v>Retained earnings</v>
      </c>
      <c r="C54" s="214">
        <f>Input!C147</f>
        <v>2341.6</v>
      </c>
      <c r="D54" s="214">
        <f>Input!D147</f>
        <v>2633.9</v>
      </c>
      <c r="E54" s="214">
        <f>Input!E147</f>
        <v>2689.6</v>
      </c>
      <c r="F54" s="214">
        <f>Input!F147</f>
        <v>2970.9</v>
      </c>
      <c r="G54" s="214">
        <f>Input!G147</f>
        <v>3218.7</v>
      </c>
      <c r="H54" s="214">
        <f ca="1">Input!H147</f>
        <v>3582.0069309350301</v>
      </c>
      <c r="I54" s="214">
        <f ca="1">Input!I147</f>
        <v>3814.9863211440133</v>
      </c>
      <c r="J54" s="214">
        <f ca="1">Input!J147</f>
        <v>4175.6730068067027</v>
      </c>
      <c r="K54" s="214">
        <f ca="1">Input!K147</f>
        <v>4395.623648569619</v>
      </c>
      <c r="L54" s="214">
        <f ca="1">Input!L147</f>
        <v>4729.070901073821</v>
      </c>
    </row>
    <row r="55" spans="2:13">
      <c r="B55" s="36" t="str">
        <f>Input!B151</f>
        <v>Comprehensive Inc. and Other</v>
      </c>
      <c r="C55" s="216">
        <f>Input!C151</f>
        <v>-44.8</v>
      </c>
      <c r="D55" s="216">
        <f>Input!D151</f>
        <v>-38.4</v>
      </c>
      <c r="E55" s="216">
        <f>Input!E151</f>
        <v>-21.2</v>
      </c>
      <c r="F55" s="216">
        <f>Input!F151</f>
        <v>-30.7</v>
      </c>
      <c r="G55" s="216">
        <f>Input!G151</f>
        <v>-64.8</v>
      </c>
      <c r="H55" s="216">
        <f>Input!H151</f>
        <v>-51.017247321474194</v>
      </c>
      <c r="I55" s="216">
        <f>Input!I151</f>
        <v>-54.246639076923501</v>
      </c>
      <c r="J55" s="216">
        <f>Input!J151</f>
        <v>-57.680451330492751</v>
      </c>
      <c r="K55" s="216">
        <f>Input!K151</f>
        <v>-61.331623899712945</v>
      </c>
      <c r="L55" s="216">
        <f>Input!L151</f>
        <v>-65.213915692564768</v>
      </c>
    </row>
    <row r="56" spans="2:13">
      <c r="B56" s="34" t="str">
        <f>Output!B56</f>
        <v>Total SH equity</v>
      </c>
      <c r="C56" s="215">
        <f>SUM(C52:C55)</f>
        <v>2302.6999999999998</v>
      </c>
      <c r="D56" s="215">
        <f t="shared" ref="D56:L56" si="9">SUM(D52:D55)</f>
        <v>2665.6</v>
      </c>
      <c r="E56" s="215">
        <f t="shared" si="9"/>
        <v>2733.2000000000003</v>
      </c>
      <c r="F56" s="215">
        <f t="shared" si="9"/>
        <v>3042.2000000000003</v>
      </c>
      <c r="G56" s="215">
        <f t="shared" si="9"/>
        <v>3163.2</v>
      </c>
      <c r="H56" s="215">
        <f t="shared" ca="1" si="9"/>
        <v>3540.4326193358656</v>
      </c>
      <c r="I56" s="215">
        <f t="shared" ca="1" si="9"/>
        <v>3770.3280660883829</v>
      </c>
      <c r="J56" s="215">
        <f t="shared" ca="1" si="9"/>
        <v>4127.7289478425428</v>
      </c>
      <c r="K56" s="215">
        <f t="shared" ca="1" si="9"/>
        <v>4344.1790338237397</v>
      </c>
      <c r="L56" s="215">
        <f t="shared" ca="1" si="9"/>
        <v>4673.8972691068484</v>
      </c>
    </row>
    <row r="57" spans="2:13">
      <c r="B57" s="34" t="str">
        <f>Output!B57</f>
        <v>Total liabs &amp; SH equity</v>
      </c>
      <c r="C57" s="215">
        <f>C49+C56</f>
        <v>3321.5</v>
      </c>
      <c r="D57" s="215">
        <f t="shared" ref="D57:K57" si="10">D49+D56</f>
        <v>3799.9</v>
      </c>
      <c r="E57" s="215">
        <f t="shared" si="10"/>
        <v>3964.7000000000003</v>
      </c>
      <c r="F57" s="215">
        <f t="shared" si="10"/>
        <v>4299</v>
      </c>
      <c r="G57" s="215">
        <f t="shared" si="10"/>
        <v>4548.6000000000004</v>
      </c>
      <c r="H57" s="215">
        <f t="shared" ca="1" si="10"/>
        <v>4955.3173079040162</v>
      </c>
      <c r="I57" s="215">
        <f t="shared" ca="1" si="10"/>
        <v>5245.6103742784435</v>
      </c>
      <c r="J57" s="215">
        <f t="shared" ca="1" si="10"/>
        <v>5667.0366165192654</v>
      </c>
      <c r="K57" s="215">
        <f t="shared" ca="1" si="10"/>
        <v>5951.3681202811604</v>
      </c>
      <c r="L57" s="215">
        <f ca="1">L49+L56</f>
        <v>6353.0665905883106</v>
      </c>
    </row>
    <row r="58" spans="2:13">
      <c r="B58" s="34"/>
      <c r="C58" s="118"/>
      <c r="D58" s="118"/>
      <c r="E58" s="118"/>
      <c r="F58" s="118"/>
      <c r="G58" s="118"/>
      <c r="H58" s="118"/>
      <c r="I58" s="118"/>
      <c r="J58" s="118"/>
      <c r="K58" s="118"/>
      <c r="L58" s="118"/>
    </row>
    <row r="59" spans="2:13" ht="15" thickBot="1">
      <c r="B59" s="185" t="s">
        <v>332</v>
      </c>
      <c r="C59" s="118"/>
      <c r="D59" s="118"/>
      <c r="E59" s="118"/>
      <c r="F59" s="118"/>
      <c r="G59" s="118"/>
      <c r="H59" s="118"/>
      <c r="I59" s="118"/>
      <c r="J59" s="118"/>
      <c r="K59" s="118"/>
      <c r="L59" s="118"/>
    </row>
    <row r="60" spans="2:13">
      <c r="B60" s="196" t="s">
        <v>333</v>
      </c>
      <c r="C60" s="189">
        <v>0.04</v>
      </c>
      <c r="D60" s="118"/>
      <c r="E60" s="118"/>
      <c r="F60" s="118"/>
      <c r="G60" s="118"/>
      <c r="H60" s="118"/>
      <c r="I60" s="118"/>
      <c r="J60" s="118"/>
      <c r="K60" s="118"/>
      <c r="L60" s="118"/>
    </row>
    <row r="61" spans="2:13">
      <c r="B61" s="186" t="s">
        <v>334</v>
      </c>
      <c r="C61" s="191">
        <f>Input!G47</f>
        <v>0.24520833333333336</v>
      </c>
      <c r="D61" s="118"/>
      <c r="E61" s="118"/>
      <c r="F61" s="118"/>
      <c r="G61" s="118"/>
      <c r="H61" s="118"/>
      <c r="I61" s="118"/>
      <c r="J61" s="118"/>
      <c r="K61" s="118"/>
      <c r="L61" s="118"/>
    </row>
    <row r="62" spans="2:13" ht="15" thickBot="1">
      <c r="B62" s="187" t="s">
        <v>335</v>
      </c>
      <c r="C62" s="195">
        <v>570.80999999999995</v>
      </c>
      <c r="D62" s="118"/>
      <c r="E62" s="118"/>
      <c r="F62" s="118"/>
      <c r="G62" s="118"/>
      <c r="H62" s="118"/>
      <c r="I62" s="118"/>
      <c r="J62" s="118"/>
      <c r="K62" s="118"/>
      <c r="L62" s="118"/>
    </row>
    <row r="63" spans="2:13">
      <c r="B63" s="34"/>
      <c r="C63" s="118"/>
      <c r="D63" s="118"/>
      <c r="E63" s="118"/>
      <c r="F63" s="118"/>
      <c r="G63" s="118"/>
      <c r="H63" s="118"/>
      <c r="I63" s="118"/>
      <c r="J63" s="118"/>
      <c r="K63" s="118"/>
      <c r="L63" s="118"/>
    </row>
    <row r="64" spans="2:13" ht="15" thickBot="1">
      <c r="B64" s="34" t="s">
        <v>336</v>
      </c>
      <c r="C64" s="118"/>
      <c r="D64" s="118"/>
      <c r="E64" s="118"/>
      <c r="F64" s="118"/>
      <c r="G64" s="118"/>
      <c r="H64" s="118"/>
      <c r="I64" s="118"/>
      <c r="J64" s="118"/>
      <c r="K64" s="118"/>
      <c r="L64" s="118"/>
    </row>
    <row r="65" spans="2:12">
      <c r="B65" s="188" t="s">
        <v>337</v>
      </c>
      <c r="C65" s="189">
        <v>8.4000000000000005E-2</v>
      </c>
      <c r="D65" s="118"/>
      <c r="E65" s="118" t="s">
        <v>355</v>
      </c>
      <c r="F65" s="118"/>
      <c r="G65" s="118"/>
      <c r="H65" s="118"/>
      <c r="I65" s="118"/>
      <c r="J65" s="118"/>
      <c r="K65" s="118"/>
      <c r="L65" s="118"/>
    </row>
    <row r="66" spans="2:12">
      <c r="B66" s="190" t="s">
        <v>339</v>
      </c>
      <c r="C66" s="191">
        <v>3.8699999999999998E-2</v>
      </c>
      <c r="D66" s="118"/>
      <c r="E66" s="197"/>
      <c r="F66" s="198" t="s">
        <v>356</v>
      </c>
      <c r="G66" s="199" t="s">
        <v>357</v>
      </c>
      <c r="H66" s="198" t="s">
        <v>354</v>
      </c>
      <c r="I66" s="118"/>
      <c r="J66" s="118"/>
      <c r="K66" s="118"/>
      <c r="L66" s="118"/>
    </row>
    <row r="67" spans="2:12">
      <c r="B67" s="190" t="s">
        <v>340</v>
      </c>
      <c r="C67" s="191">
        <v>4.53E-2</v>
      </c>
      <c r="D67" s="118"/>
      <c r="E67" s="198" t="s">
        <v>358</v>
      </c>
      <c r="F67" s="200">
        <v>27010.799999999999</v>
      </c>
      <c r="G67" s="201">
        <f>F67/$F$70</f>
        <v>0.97116086420330128</v>
      </c>
      <c r="H67" s="202">
        <f>C65</f>
        <v>8.4000000000000005E-2</v>
      </c>
      <c r="I67" s="118"/>
      <c r="J67" s="118"/>
      <c r="K67" s="118"/>
      <c r="L67" s="118"/>
    </row>
    <row r="68" spans="2:12">
      <c r="B68" s="190" t="s">
        <v>341</v>
      </c>
      <c r="C68" s="192">
        <v>0.96</v>
      </c>
      <c r="D68" s="118"/>
      <c r="E68" s="198" t="s">
        <v>359</v>
      </c>
      <c r="F68" s="200">
        <v>293.7</v>
      </c>
      <c r="G68" s="201">
        <f t="shared" ref="G68:G69" si="11">F68/$F$70</f>
        <v>1.0559848128026923E-2</v>
      </c>
      <c r="H68" s="202">
        <f>C78</f>
        <v>4.4299999999999999E-2</v>
      </c>
      <c r="I68" s="118"/>
      <c r="J68" s="118"/>
      <c r="K68" s="118"/>
      <c r="L68" s="118"/>
    </row>
    <row r="69" spans="2:12">
      <c r="B69" s="190" t="s">
        <v>345</v>
      </c>
      <c r="C69" s="191">
        <v>4.7300000000000002E-2</v>
      </c>
      <c r="D69" s="118"/>
      <c r="E69" s="203" t="s">
        <v>360</v>
      </c>
      <c r="F69" s="204">
        <v>508.4</v>
      </c>
      <c r="G69" s="205">
        <f t="shared" si="11"/>
        <v>1.8279287668671731E-2</v>
      </c>
      <c r="H69" s="206">
        <f>C81</f>
        <v>3.8699999999999998E-2</v>
      </c>
      <c r="I69" s="118"/>
      <c r="J69" s="118"/>
      <c r="K69" s="118"/>
      <c r="L69" s="118"/>
    </row>
    <row r="70" spans="2:12">
      <c r="B70" s="190" t="s">
        <v>342</v>
      </c>
      <c r="C70" s="191">
        <v>8.6099999999999996E-2</v>
      </c>
      <c r="D70" s="118"/>
      <c r="E70" s="197"/>
      <c r="F70" s="207">
        <f>SUM(F67:F69)</f>
        <v>27812.9</v>
      </c>
      <c r="G70" s="208">
        <f>SUM(G67:G69)</f>
        <v>0.99999999999999989</v>
      </c>
      <c r="H70" s="197"/>
      <c r="I70" s="118"/>
      <c r="J70" s="118"/>
      <c r="K70" s="118"/>
      <c r="L70" s="118"/>
    </row>
    <row r="71" spans="2:12">
      <c r="B71" s="190"/>
      <c r="C71" s="193"/>
      <c r="D71" s="118"/>
      <c r="E71" s="197"/>
      <c r="F71" s="224" t="s">
        <v>361</v>
      </c>
      <c r="G71" s="224"/>
      <c r="H71" s="209">
        <f>H67*G67+(Input!P21*(1-Input!G47))*(H68*G68+H69*G69)</f>
        <v>8.2801625711769536E-2</v>
      </c>
      <c r="I71" s="118"/>
      <c r="J71" s="118"/>
      <c r="K71" s="118"/>
      <c r="L71" s="118"/>
    </row>
    <row r="72" spans="2:12">
      <c r="B72" s="190" t="s">
        <v>338</v>
      </c>
      <c r="C72" s="191">
        <v>4.2500000000000003E-2</v>
      </c>
      <c r="D72" s="118"/>
      <c r="E72" s="118"/>
      <c r="F72" s="118"/>
      <c r="G72" s="118"/>
      <c r="H72" s="118"/>
      <c r="I72" s="118"/>
      <c r="J72" s="118"/>
      <c r="K72" s="118"/>
      <c r="L72" s="118"/>
    </row>
    <row r="73" spans="2:12">
      <c r="B73" s="190" t="s">
        <v>343</v>
      </c>
      <c r="C73" s="191">
        <v>0.75480000000000003</v>
      </c>
      <c r="D73" s="118"/>
      <c r="E73" s="118"/>
      <c r="F73" s="118"/>
      <c r="G73" s="118"/>
      <c r="H73" s="118"/>
      <c r="I73" s="118"/>
      <c r="J73" s="118"/>
      <c r="K73" s="118"/>
      <c r="L73" s="118"/>
    </row>
    <row r="74" spans="2:12">
      <c r="B74" s="190" t="s">
        <v>344</v>
      </c>
      <c r="C74" s="191">
        <v>0.2452</v>
      </c>
      <c r="D74" s="118"/>
      <c r="E74" s="118"/>
      <c r="F74" s="118"/>
      <c r="G74" s="118"/>
      <c r="H74" s="118"/>
      <c r="I74" s="118"/>
      <c r="J74" s="118"/>
      <c r="K74" s="118"/>
      <c r="L74" s="118"/>
    </row>
    <row r="75" spans="2:12">
      <c r="B75" s="190" t="s">
        <v>346</v>
      </c>
      <c r="C75" s="191">
        <v>4.0800000000000003E-2</v>
      </c>
      <c r="D75" s="118"/>
      <c r="E75" s="118"/>
      <c r="F75" s="118"/>
      <c r="G75" s="118"/>
      <c r="H75" s="118"/>
      <c r="I75" s="118"/>
      <c r="J75" s="118"/>
      <c r="K75" s="118"/>
      <c r="L75" s="118"/>
    </row>
    <row r="76" spans="2:12">
      <c r="B76" s="190" t="s">
        <v>347</v>
      </c>
      <c r="C76" s="191">
        <v>1.6199999999999999E-2</v>
      </c>
      <c r="D76" s="118"/>
      <c r="E76" s="118"/>
      <c r="F76" s="118"/>
      <c r="G76" s="118"/>
      <c r="H76" s="118"/>
      <c r="I76" s="118"/>
      <c r="J76" s="118"/>
      <c r="K76" s="118"/>
      <c r="L76" s="118"/>
    </row>
    <row r="77" spans="2:12">
      <c r="B77" s="190" t="s">
        <v>348</v>
      </c>
      <c r="C77" s="193">
        <v>0.37</v>
      </c>
      <c r="D77" s="118"/>
      <c r="E77" s="118"/>
      <c r="F77" s="118"/>
      <c r="G77" s="118"/>
      <c r="H77" s="118"/>
      <c r="I77" s="118"/>
      <c r="J77" s="118"/>
      <c r="K77" s="118"/>
      <c r="L77" s="118"/>
    </row>
    <row r="78" spans="2:12">
      <c r="B78" s="190" t="s">
        <v>349</v>
      </c>
      <c r="C78" s="191">
        <v>4.4299999999999999E-2</v>
      </c>
      <c r="D78" s="118"/>
      <c r="E78" s="118"/>
      <c r="F78" s="118"/>
      <c r="G78" s="118"/>
      <c r="H78" s="118"/>
      <c r="I78" s="118"/>
      <c r="J78" s="118"/>
      <c r="K78" s="118"/>
      <c r="L78" s="118"/>
    </row>
    <row r="79" spans="2:12">
      <c r="B79" s="190" t="s">
        <v>350</v>
      </c>
      <c r="C79" s="191">
        <v>2.46E-2</v>
      </c>
      <c r="D79" s="118"/>
      <c r="E79" s="118"/>
      <c r="F79" s="118"/>
      <c r="G79" s="118"/>
      <c r="H79" s="118"/>
      <c r="I79" s="118"/>
      <c r="J79" s="118"/>
      <c r="K79" s="118"/>
      <c r="L79" s="118"/>
    </row>
    <row r="80" spans="2:12">
      <c r="B80" s="190" t="s">
        <v>351</v>
      </c>
      <c r="C80" s="192">
        <v>0.63</v>
      </c>
      <c r="D80" s="118"/>
      <c r="E80" s="118"/>
      <c r="F80" s="118"/>
      <c r="G80" s="118"/>
      <c r="H80" s="118"/>
      <c r="I80" s="118"/>
      <c r="J80" s="118"/>
      <c r="K80" s="118"/>
      <c r="L80" s="118"/>
    </row>
    <row r="81" spans="2:12">
      <c r="B81" s="190" t="s">
        <v>352</v>
      </c>
      <c r="C81" s="191">
        <v>3.8699999999999998E-2</v>
      </c>
      <c r="D81" s="118"/>
      <c r="E81" s="118"/>
      <c r="F81" s="118"/>
      <c r="G81" s="118"/>
      <c r="H81" s="118"/>
      <c r="I81" s="118"/>
      <c r="J81" s="118"/>
      <c r="K81" s="118"/>
      <c r="L81" s="118"/>
    </row>
    <row r="82" spans="2:12" ht="15" thickBot="1">
      <c r="B82" s="194" t="s">
        <v>353</v>
      </c>
      <c r="C82" s="195">
        <v>1.38</v>
      </c>
      <c r="D82" s="118"/>
      <c r="E82" s="118"/>
      <c r="F82" s="118"/>
      <c r="G82" s="118"/>
      <c r="H82" s="118"/>
      <c r="I82" s="118"/>
      <c r="J82" s="118"/>
      <c r="K82" s="118"/>
      <c r="L82" s="118"/>
    </row>
    <row r="83" spans="2:12">
      <c r="B83" s="34"/>
      <c r="C83" s="118"/>
      <c r="D83" s="118"/>
      <c r="E83" s="118"/>
      <c r="F83" s="118"/>
      <c r="G83" s="118"/>
      <c r="H83" s="118"/>
      <c r="I83" s="118"/>
      <c r="J83" s="118"/>
      <c r="K83" s="118"/>
      <c r="L83" s="118"/>
    </row>
    <row r="84" spans="2:12" ht="15" thickBot="1">
      <c r="B84" s="107"/>
      <c r="C84" s="34"/>
      <c r="D84" s="34"/>
      <c r="E84" s="34"/>
      <c r="F84" s="34"/>
      <c r="G84" s="34"/>
      <c r="H84" s="34"/>
      <c r="I84" s="34"/>
      <c r="J84" s="34"/>
      <c r="K84" s="34"/>
      <c r="L84" s="34"/>
    </row>
    <row r="85" spans="2:12" ht="15" thickBot="1">
      <c r="B85" s="167" t="s">
        <v>314</v>
      </c>
      <c r="C85" s="71">
        <v>43465</v>
      </c>
      <c r="D85" s="71">
        <v>43830</v>
      </c>
      <c r="E85" s="71">
        <v>44196</v>
      </c>
      <c r="F85" s="71">
        <v>44561</v>
      </c>
      <c r="G85" s="71">
        <v>44926</v>
      </c>
      <c r="H85" s="71">
        <v>45291</v>
      </c>
      <c r="I85" s="71">
        <v>45657</v>
      </c>
      <c r="J85" s="71">
        <v>46022</v>
      </c>
      <c r="K85" s="71">
        <v>46387</v>
      </c>
      <c r="L85" s="71">
        <v>46752</v>
      </c>
    </row>
    <row r="86" spans="2:12" ht="15" thickTop="1">
      <c r="B86" s="174" t="s">
        <v>315</v>
      </c>
      <c r="C86" s="175"/>
      <c r="D86" s="175"/>
      <c r="E86" s="175"/>
      <c r="F86" s="175"/>
      <c r="G86" s="175"/>
      <c r="H86" s="210">
        <f>H13*(1-Input!$G$47)</f>
        <v>1141.6960723358832</v>
      </c>
      <c r="I86" s="210">
        <f>I13*(1-Input!$G$47)</f>
        <v>1215.3464192472613</v>
      </c>
      <c r="J86" s="210">
        <f>J13*(1-Input!$G$47)</f>
        <v>1292.3729787235029</v>
      </c>
      <c r="K86" s="210">
        <f>K13*(1-Input!$G$47)</f>
        <v>1372.9077680000648</v>
      </c>
      <c r="L86" s="210">
        <f>L13*(1-Input!$G$47)</f>
        <v>1457.0859895820488</v>
      </c>
    </row>
    <row r="87" spans="2:12">
      <c r="B87" s="168" t="s">
        <v>316</v>
      </c>
      <c r="C87" s="171"/>
      <c r="D87" s="175"/>
      <c r="E87" s="175"/>
      <c r="F87" s="175"/>
      <c r="G87" s="175"/>
      <c r="H87" s="210">
        <f>H11+H12</f>
        <v>195.27549243239437</v>
      </c>
      <c r="I87" s="210">
        <f t="shared" ref="I87:L87" si="12">I11+I12</f>
        <v>205.8068063293976</v>
      </c>
      <c r="J87" s="210">
        <f t="shared" si="12"/>
        <v>218.70834088468533</v>
      </c>
      <c r="K87" s="210">
        <f t="shared" si="12"/>
        <v>234.2383689062556</v>
      </c>
      <c r="L87" s="210">
        <f t="shared" si="12"/>
        <v>252.67836332614559</v>
      </c>
    </row>
    <row r="88" spans="2:12">
      <c r="B88" s="174" t="s">
        <v>317</v>
      </c>
      <c r="C88" s="171"/>
      <c r="D88" s="175"/>
      <c r="E88" s="175"/>
      <c r="F88" s="175"/>
      <c r="G88" s="175"/>
      <c r="H88" s="210">
        <f>-(H35-G35)</f>
        <v>-144.44058593999989</v>
      </c>
      <c r="I88" s="210">
        <f t="shared" ref="I88:L88" si="13">-(I35-H35)</f>
        <v>-177.26061839900376</v>
      </c>
      <c r="J88" s="210">
        <f t="shared" si="13"/>
        <v>-213.65690942792071</v>
      </c>
      <c r="K88" s="210">
        <f t="shared" si="13"/>
        <v>-253.95070710184154</v>
      </c>
      <c r="L88" s="210">
        <f t="shared" si="13"/>
        <v>-298.48959982746283</v>
      </c>
    </row>
    <row r="89" spans="2:12">
      <c r="B89" s="168" t="s">
        <v>327</v>
      </c>
      <c r="C89" s="171"/>
      <c r="D89" s="175"/>
      <c r="E89" s="175"/>
      <c r="F89" s="175"/>
      <c r="G89" s="175"/>
      <c r="H89" s="210">
        <f>-(H30-G30+H31-G31+H32-G32)</f>
        <v>-239.97641076330956</v>
      </c>
      <c r="I89" s="210">
        <f t="shared" ref="I89:L89" si="14">-(I30-H30+I31-H31+I32-H32)</f>
        <v>-198.42501680131718</v>
      </c>
      <c r="J89" s="210">
        <f t="shared" si="14"/>
        <v>-210.98532036484062</v>
      </c>
      <c r="K89" s="210">
        <f t="shared" si="14"/>
        <v>-224.34069114393492</v>
      </c>
      <c r="L89" s="210">
        <f t="shared" si="14"/>
        <v>-238.54145689334581</v>
      </c>
    </row>
    <row r="90" spans="2:12" ht="15" thickBot="1">
      <c r="B90" s="168" t="s">
        <v>328</v>
      </c>
      <c r="C90" s="171"/>
      <c r="D90" s="175"/>
      <c r="E90" s="175"/>
      <c r="F90" s="175"/>
      <c r="G90" s="175"/>
      <c r="H90" s="210">
        <f>H41+H42-G41-G42</f>
        <v>120.31911425064757</v>
      </c>
      <c r="I90" s="210">
        <f t="shared" ref="I90:L90" si="15">I41+I42-H41-H42</f>
        <v>39.019329932065943</v>
      </c>
      <c r="J90" s="210">
        <f t="shared" si="15"/>
        <v>41.489253516765757</v>
      </c>
      <c r="K90" s="210">
        <f t="shared" si="15"/>
        <v>44.115523264376918</v>
      </c>
      <c r="L90" s="210">
        <f t="shared" si="15"/>
        <v>46.90803588701209</v>
      </c>
    </row>
    <row r="91" spans="2:12" ht="15" thickBot="1">
      <c r="B91" s="169" t="s">
        <v>318</v>
      </c>
      <c r="C91" s="170"/>
      <c r="D91" s="181"/>
      <c r="E91" s="181"/>
      <c r="F91" s="181"/>
      <c r="G91" s="181"/>
      <c r="H91" s="211">
        <f>SUM(H86:H90)</f>
        <v>1072.8736823156157</v>
      </c>
      <c r="I91" s="211">
        <f t="shared" ref="I91:L91" si="16">SUM(I86:I90)</f>
        <v>1084.486920308404</v>
      </c>
      <c r="J91" s="211">
        <f t="shared" si="16"/>
        <v>1127.9283433321928</v>
      </c>
      <c r="K91" s="211">
        <f t="shared" si="16"/>
        <v>1172.9702619249208</v>
      </c>
      <c r="L91" s="211">
        <f t="shared" si="16"/>
        <v>1219.6413320743977</v>
      </c>
    </row>
    <row r="92" spans="2:12">
      <c r="B92" s="32" t="s">
        <v>319</v>
      </c>
      <c r="C92" s="176"/>
      <c r="D92" s="176"/>
      <c r="E92" s="176"/>
      <c r="F92" s="176"/>
      <c r="G92" s="176"/>
      <c r="H92" s="177"/>
      <c r="K92" s="32"/>
      <c r="L92" s="89">
        <f>L91*(1+C60)/(H71-C60)</f>
        <v>29635.018863514415</v>
      </c>
    </row>
    <row r="93" spans="2:12">
      <c r="B93" s="32" t="s">
        <v>320</v>
      </c>
      <c r="C93" s="176"/>
      <c r="D93" s="177"/>
      <c r="E93" s="177"/>
      <c r="F93" s="177"/>
      <c r="G93" s="177"/>
      <c r="H93" s="212">
        <f t="shared" ref="H93:K93" si="17">H91+H92</f>
        <v>1072.8736823156157</v>
      </c>
      <c r="I93" s="212">
        <f t="shared" si="17"/>
        <v>1084.486920308404</v>
      </c>
      <c r="J93" s="212">
        <f t="shared" si="17"/>
        <v>1127.9283433321928</v>
      </c>
      <c r="K93" s="212">
        <f t="shared" si="17"/>
        <v>1172.9702619249208</v>
      </c>
      <c r="L93" s="212">
        <f>L91+L92</f>
        <v>30854.660195588811</v>
      </c>
    </row>
    <row r="94" spans="2:12">
      <c r="B94" s="32" t="s">
        <v>321</v>
      </c>
      <c r="C94" s="178"/>
      <c r="D94" s="179"/>
      <c r="E94" s="176"/>
      <c r="F94" s="176"/>
      <c r="G94" s="213">
        <f>NPV(H71, H93:L93)</f>
        <v>24386.433001695805</v>
      </c>
      <c r="H94" s="176" t="s">
        <v>362</v>
      </c>
      <c r="I94" s="89"/>
      <c r="J94" s="89"/>
      <c r="K94" s="89"/>
      <c r="L94" s="89"/>
    </row>
    <row r="95" spans="2:12">
      <c r="B95" s="32" t="s">
        <v>322</v>
      </c>
      <c r="C95" s="178"/>
      <c r="D95" s="176"/>
      <c r="E95" s="176"/>
      <c r="F95" s="176"/>
      <c r="G95" s="213">
        <f>G28+G29</f>
        <v>230.1</v>
      </c>
      <c r="H95" s="176"/>
      <c r="I95" s="89"/>
      <c r="J95" s="89"/>
      <c r="K95" s="89"/>
      <c r="L95" s="89"/>
    </row>
    <row r="96" spans="2:12">
      <c r="B96" s="32" t="s">
        <v>323</v>
      </c>
      <c r="C96" s="178"/>
      <c r="D96" s="176"/>
      <c r="E96" s="176"/>
      <c r="F96" s="176"/>
      <c r="G96" s="213">
        <f>G94+G95</f>
        <v>24616.533001695803</v>
      </c>
      <c r="H96" s="176"/>
      <c r="K96" s="32"/>
      <c r="L96" s="32"/>
    </row>
    <row r="97" spans="2:12">
      <c r="B97" s="32" t="s">
        <v>324</v>
      </c>
      <c r="C97" s="180"/>
      <c r="D97" s="176"/>
      <c r="E97" s="176"/>
      <c r="F97" s="176"/>
      <c r="G97" s="213">
        <f>G43+G46</f>
        <v>802.1</v>
      </c>
      <c r="H97" s="176"/>
      <c r="K97" s="32"/>
      <c r="L97" s="32"/>
    </row>
    <row r="98" spans="2:12">
      <c r="B98" s="32" t="s">
        <v>325</v>
      </c>
      <c r="C98" s="178"/>
      <c r="D98" s="176"/>
      <c r="E98" s="176"/>
      <c r="F98" s="176"/>
      <c r="G98" s="213">
        <f>G96-G97</f>
        <v>23814.433001695805</v>
      </c>
      <c r="H98" s="176"/>
      <c r="I98" s="120"/>
      <c r="J98" s="120"/>
      <c r="K98" s="120"/>
      <c r="L98" s="120"/>
    </row>
    <row r="99" spans="2:12">
      <c r="B99" s="32" t="s">
        <v>326</v>
      </c>
      <c r="C99" s="178"/>
      <c r="D99" s="176"/>
      <c r="E99" s="176"/>
      <c r="F99" s="176"/>
      <c r="G99" s="221">
        <f>G98/C62</f>
        <v>41.720420107734284</v>
      </c>
      <c r="H99" s="176"/>
      <c r="K99" s="32"/>
      <c r="L99" s="32"/>
    </row>
    <row r="100" spans="2:12">
      <c r="K100" s="32"/>
      <c r="L100" s="32"/>
    </row>
  </sheetData>
  <mergeCells count="1">
    <mergeCell ref="F71:G71"/>
  </mergeCells>
  <phoneticPr fontId="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13329-3F47-4302-9910-3011A5310DA4}">
  <dimension ref="A1:P31"/>
  <sheetViews>
    <sheetView workbookViewId="0"/>
  </sheetViews>
  <sheetFormatPr baseColWidth="10" defaultColWidth="8.83203125" defaultRowHeight="15"/>
  <cols>
    <col min="1" max="3" width="36.83203125" customWidth="1"/>
  </cols>
  <sheetData>
    <row r="1" spans="1:16">
      <c r="A1" s="218" t="s">
        <v>363</v>
      </c>
    </row>
    <row r="2" spans="1:16">
      <c r="P2" t="e">
        <f ca="1">_xll.CB.RecalcCounterFN()</f>
        <v>#NAME?</v>
      </c>
    </row>
    <row r="3" spans="1:16">
      <c r="A3" t="s">
        <v>364</v>
      </c>
      <c r="B3" t="s">
        <v>365</v>
      </c>
      <c r="C3">
        <v>0</v>
      </c>
    </row>
    <row r="4" spans="1:16">
      <c r="A4" t="s">
        <v>366</v>
      </c>
    </row>
    <row r="5" spans="1:16">
      <c r="A5" t="s">
        <v>367</v>
      </c>
    </row>
    <row r="7" spans="1:16">
      <c r="A7" s="218" t="s">
        <v>368</v>
      </c>
      <c r="B7" t="s">
        <v>369</v>
      </c>
    </row>
    <row r="8" spans="1:16">
      <c r="B8">
        <v>3</v>
      </c>
    </row>
    <row r="10" spans="1:16">
      <c r="A10" t="s">
        <v>370</v>
      </c>
    </row>
    <row r="11" spans="1:16">
      <c r="A11" t="e">
        <f>CB_DATA_!#REF!</f>
        <v>#REF!</v>
      </c>
      <c r="B11" t="e">
        <f>Input!#REF!</f>
        <v>#REF!</v>
      </c>
      <c r="C11" t="e">
        <f>Valuation!#REF!</f>
        <v>#REF!</v>
      </c>
    </row>
    <row r="13" spans="1:16">
      <c r="A13" t="s">
        <v>371</v>
      </c>
    </row>
    <row r="14" spans="1:16">
      <c r="A14" t="s">
        <v>375</v>
      </c>
      <c r="B14" t="s">
        <v>379</v>
      </c>
      <c r="C14" t="s">
        <v>382</v>
      </c>
    </row>
    <row r="16" spans="1:16">
      <c r="A16" t="s">
        <v>372</v>
      </c>
    </row>
    <row r="19" spans="1:3">
      <c r="A19" t="s">
        <v>373</v>
      </c>
    </row>
    <row r="20" spans="1:3">
      <c r="A20">
        <v>31</v>
      </c>
      <c r="B20">
        <v>31</v>
      </c>
      <c r="C20">
        <v>31</v>
      </c>
    </row>
    <row r="25" spans="1:3">
      <c r="A25" s="218" t="s">
        <v>374</v>
      </c>
    </row>
    <row r="26" spans="1:3">
      <c r="A26" s="82" t="s">
        <v>376</v>
      </c>
      <c r="B26" s="82" t="s">
        <v>380</v>
      </c>
      <c r="C26" s="82" t="s">
        <v>380</v>
      </c>
    </row>
    <row r="27" spans="1:3">
      <c r="A27" t="s">
        <v>377</v>
      </c>
      <c r="B27" t="s">
        <v>384</v>
      </c>
      <c r="C27" t="s">
        <v>385</v>
      </c>
    </row>
    <row r="28" spans="1:3">
      <c r="A28" s="82" t="s">
        <v>378</v>
      </c>
      <c r="B28" s="82" t="s">
        <v>378</v>
      </c>
      <c r="C28" s="82" t="s">
        <v>378</v>
      </c>
    </row>
    <row r="29" spans="1:3">
      <c r="A29" s="82" t="s">
        <v>380</v>
      </c>
      <c r="B29" s="82" t="s">
        <v>376</v>
      </c>
      <c r="C29" s="82" t="s">
        <v>376</v>
      </c>
    </row>
    <row r="30" spans="1:3">
      <c r="A30" t="s">
        <v>386</v>
      </c>
      <c r="B30" t="s">
        <v>381</v>
      </c>
      <c r="C30" t="s">
        <v>383</v>
      </c>
    </row>
    <row r="31" spans="1:3">
      <c r="A31" s="82" t="s">
        <v>378</v>
      </c>
      <c r="B31" s="82" t="s">
        <v>378</v>
      </c>
      <c r="C31" s="82" t="s">
        <v>378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3675D-7FD5-4A83-8C8A-EC9613DD2512}">
  <dimension ref="B2:P166"/>
  <sheetViews>
    <sheetView topLeftCell="A88" zoomScale="150" workbookViewId="0">
      <selection activeCell="B69" sqref="B69"/>
    </sheetView>
  </sheetViews>
  <sheetFormatPr baseColWidth="10" defaultColWidth="5.83203125" defaultRowHeight="15"/>
  <cols>
    <col min="1" max="1" width="2.5" customWidth="1"/>
    <col min="2" max="2" width="28.83203125" style="32" bestFit="1" customWidth="1"/>
    <col min="3" max="10" width="10.1640625" style="32" bestFit="1" customWidth="1"/>
    <col min="11" max="12" width="10.1640625" bestFit="1" customWidth="1"/>
    <col min="15" max="15" width="36.83203125" bestFit="1" customWidth="1"/>
    <col min="16" max="16" width="7.33203125" bestFit="1" customWidth="1"/>
  </cols>
  <sheetData>
    <row r="2" spans="2:16">
      <c r="H2" s="72" t="s">
        <v>233</v>
      </c>
      <c r="I2" s="72" t="s">
        <v>233</v>
      </c>
      <c r="J2" s="72" t="s">
        <v>233</v>
      </c>
      <c r="K2" s="72" t="s">
        <v>233</v>
      </c>
      <c r="L2" s="72" t="s">
        <v>233</v>
      </c>
    </row>
    <row r="3" spans="2:16" ht="16" thickBot="1">
      <c r="B3" s="35" t="s">
        <v>204</v>
      </c>
      <c r="C3" s="71">
        <v>43465</v>
      </c>
      <c r="D3" s="71">
        <v>43830</v>
      </c>
      <c r="E3" s="71">
        <v>44196</v>
      </c>
      <c r="F3" s="71">
        <v>44561</v>
      </c>
      <c r="G3" s="71">
        <v>44926</v>
      </c>
      <c r="H3" s="71">
        <v>45291</v>
      </c>
      <c r="I3" s="71">
        <v>45657</v>
      </c>
      <c r="J3" s="71">
        <v>46022</v>
      </c>
      <c r="K3" s="71">
        <v>46387</v>
      </c>
      <c r="L3" s="71">
        <v>46752</v>
      </c>
      <c r="O3" s="34" t="s">
        <v>336</v>
      </c>
      <c r="P3" s="118"/>
    </row>
    <row r="4" spans="2:16" ht="16" thickTop="1">
      <c r="O4" s="188" t="s">
        <v>337</v>
      </c>
      <c r="P4" s="189">
        <f>Valuation!C65</f>
        <v>8.4000000000000005E-2</v>
      </c>
    </row>
    <row r="5" spans="2:16">
      <c r="B5" s="32" t="s">
        <v>234</v>
      </c>
      <c r="C5" s="93">
        <f>'Organized PL&amp;BS'!C5</f>
        <v>4965.1000000000004</v>
      </c>
      <c r="D5" s="93">
        <f>'Organized PL&amp;BS'!D5</f>
        <v>5333.7</v>
      </c>
      <c r="E5" s="93">
        <f>'Organized PL&amp;BS'!E5</f>
        <v>5647.3</v>
      </c>
      <c r="F5" s="93">
        <f>'Organized PL&amp;BS'!F5</f>
        <v>6010.9</v>
      </c>
      <c r="G5" s="93">
        <f>'Organized PL&amp;BS'!G5</f>
        <v>6980.6</v>
      </c>
      <c r="H5" s="73"/>
      <c r="I5" s="73"/>
      <c r="J5" s="73"/>
      <c r="K5" s="73"/>
      <c r="L5" s="73"/>
      <c r="O5" s="190" t="s">
        <v>339</v>
      </c>
      <c r="P5" s="222">
        <v>3.8699999999999998E-2</v>
      </c>
    </row>
    <row r="6" spans="2:16">
      <c r="B6" s="74" t="s">
        <v>235</v>
      </c>
      <c r="C6" s="97" t="str">
        <f>IFERROR(C5/B5-1,"NA")</f>
        <v>NA</v>
      </c>
      <c r="D6" s="97">
        <f t="shared" ref="D6:G6" si="0">IFERROR(D5/C5-1,"NA")</f>
        <v>7.4238182513947315E-2</v>
      </c>
      <c r="E6" s="97">
        <f t="shared" si="0"/>
        <v>5.8795957777902919E-2</v>
      </c>
      <c r="F6" s="97">
        <f t="shared" si="0"/>
        <v>6.438475023462531E-2</v>
      </c>
      <c r="G6" s="97">
        <f t="shared" si="0"/>
        <v>0.16132359546823283</v>
      </c>
      <c r="H6" s="219">
        <v>6.3299999999999995E-2</v>
      </c>
      <c r="I6" s="90">
        <f>H6</f>
        <v>6.3299999999999995E-2</v>
      </c>
      <c r="J6" s="90">
        <f>I6</f>
        <v>6.3299999999999995E-2</v>
      </c>
      <c r="K6" s="90">
        <f>J6</f>
        <v>6.3299999999999995E-2</v>
      </c>
      <c r="L6" s="90">
        <f>K6</f>
        <v>6.3299999999999995E-2</v>
      </c>
      <c r="O6" s="190" t="s">
        <v>340</v>
      </c>
      <c r="P6" s="222">
        <v>4.53E-2</v>
      </c>
    </row>
    <row r="7" spans="2:16">
      <c r="B7" s="76" t="str">
        <f>B5</f>
        <v>Revenues</v>
      </c>
      <c r="C7" s="91">
        <f>C5</f>
        <v>4965.1000000000004</v>
      </c>
      <c r="D7" s="91">
        <f t="shared" ref="D7:G7" si="1">D5</f>
        <v>5333.7</v>
      </c>
      <c r="E7" s="91">
        <f t="shared" si="1"/>
        <v>5647.3</v>
      </c>
      <c r="F7" s="91">
        <f t="shared" si="1"/>
        <v>6010.9</v>
      </c>
      <c r="G7" s="91">
        <f t="shared" si="1"/>
        <v>6980.6</v>
      </c>
      <c r="H7" s="91">
        <f>IF(H5,H5,G7*(1+H6))</f>
        <v>7422.4719799999993</v>
      </c>
      <c r="I7" s="91">
        <f t="shared" ref="I7:L7" si="2">IF(I5,I5,H7*(1+I6))</f>
        <v>7892.3144563339984</v>
      </c>
      <c r="J7" s="91">
        <f t="shared" si="2"/>
        <v>8391.8979614199397</v>
      </c>
      <c r="K7" s="91">
        <f t="shared" si="2"/>
        <v>8923.1051023778218</v>
      </c>
      <c r="L7" s="91">
        <f t="shared" si="2"/>
        <v>9487.937655358337</v>
      </c>
      <c r="O7" s="190" t="s">
        <v>341</v>
      </c>
      <c r="P7" s="192">
        <v>0.96</v>
      </c>
    </row>
    <row r="8" spans="2:16">
      <c r="K8" s="32"/>
      <c r="L8" s="32"/>
      <c r="O8" s="190" t="s">
        <v>345</v>
      </c>
      <c r="P8" s="191">
        <v>4.7300000000000002E-2</v>
      </c>
    </row>
    <row r="9" spans="2:16">
      <c r="B9" s="32" t="s">
        <v>236</v>
      </c>
      <c r="C9" s="93">
        <f>'Organized PL&amp;BS'!C6</f>
        <v>2428</v>
      </c>
      <c r="D9" s="93">
        <f>'Organized PL&amp;BS'!D6</f>
        <v>2669.6000000000004</v>
      </c>
      <c r="E9" s="93">
        <f>'Organized PL&amp;BS'!E6</f>
        <v>2917.1</v>
      </c>
      <c r="F9" s="93">
        <f>'Organized PL&amp;BS'!F6</f>
        <v>3063</v>
      </c>
      <c r="G9" s="93">
        <f>'Organized PL&amp;BS'!G6</f>
        <v>3588.2000000000003</v>
      </c>
      <c r="H9" s="73"/>
      <c r="I9" s="73"/>
      <c r="J9" s="73"/>
      <c r="K9" s="73"/>
      <c r="L9" s="73"/>
      <c r="O9" s="190" t="s">
        <v>342</v>
      </c>
      <c r="P9" s="191">
        <v>8.6099999999999996E-2</v>
      </c>
    </row>
    <row r="10" spans="2:16">
      <c r="B10" s="74" t="s">
        <v>237</v>
      </c>
      <c r="C10" s="97">
        <f>IFERROR(C9/C$7,"N/A")</f>
        <v>0.48901331292421096</v>
      </c>
      <c r="D10" s="97">
        <f t="shared" ref="D10:G10" si="3">IFERROR(D9/D$7,"N/A")</f>
        <v>0.50051558955321829</v>
      </c>
      <c r="E10" s="97">
        <f t="shared" si="3"/>
        <v>0.51654773077399818</v>
      </c>
      <c r="F10" s="97">
        <f t="shared" si="3"/>
        <v>0.50957427340331729</v>
      </c>
      <c r="G10" s="97">
        <f t="shared" si="3"/>
        <v>0.51402458241411919</v>
      </c>
      <c r="H10" s="220">
        <v>0.50593509781377299</v>
      </c>
      <c r="I10" s="90">
        <f>H10</f>
        <v>0.50593509781377299</v>
      </c>
      <c r="J10" s="90">
        <f>I10</f>
        <v>0.50593509781377299</v>
      </c>
      <c r="K10" s="90">
        <f>J10</f>
        <v>0.50593509781377299</v>
      </c>
      <c r="L10" s="90">
        <f>K10</f>
        <v>0.50593509781377299</v>
      </c>
      <c r="O10" s="190"/>
      <c r="P10" s="193"/>
    </row>
    <row r="11" spans="2:16">
      <c r="B11" s="76" t="str">
        <f>B9</f>
        <v>COGS</v>
      </c>
      <c r="C11" s="91">
        <f>C9</f>
        <v>2428</v>
      </c>
      <c r="D11" s="91">
        <f t="shared" ref="D11:G11" si="4">D9</f>
        <v>2669.6000000000004</v>
      </c>
      <c r="E11" s="91">
        <f t="shared" si="4"/>
        <v>2917.1</v>
      </c>
      <c r="F11" s="91">
        <f t="shared" si="4"/>
        <v>3063</v>
      </c>
      <c r="G11" s="91">
        <f t="shared" si="4"/>
        <v>3588.2000000000003</v>
      </c>
      <c r="H11" s="91">
        <f>IF(H9,H9,H$7*H10)</f>
        <v>3755.2890872212888</v>
      </c>
      <c r="I11" s="91">
        <f t="shared" ref="I11:L11" si="5">IF(I9,I9,I$7*I10)</f>
        <v>3992.9988864423963</v>
      </c>
      <c r="J11" s="91">
        <f t="shared" si="5"/>
        <v>4245.7557159541993</v>
      </c>
      <c r="K11" s="91">
        <f t="shared" si="5"/>
        <v>4514.5120527741001</v>
      </c>
      <c r="L11" s="91">
        <f t="shared" si="5"/>
        <v>4800.2806657147003</v>
      </c>
      <c r="O11" s="190" t="s">
        <v>338</v>
      </c>
      <c r="P11" s="191">
        <v>4.2500000000000003E-2</v>
      </c>
    </row>
    <row r="12" spans="2:16">
      <c r="B12" s="77" t="s">
        <v>238</v>
      </c>
      <c r="C12" s="94">
        <f t="shared" ref="C12:J12" si="6">C7-C11</f>
        <v>2537.1000000000004</v>
      </c>
      <c r="D12" s="94">
        <f t="shared" si="6"/>
        <v>2664.0999999999995</v>
      </c>
      <c r="E12" s="94">
        <f t="shared" si="6"/>
        <v>2730.2000000000003</v>
      </c>
      <c r="F12" s="94">
        <f t="shared" si="6"/>
        <v>2947.8999999999996</v>
      </c>
      <c r="G12" s="94">
        <f t="shared" si="6"/>
        <v>3392.4</v>
      </c>
      <c r="H12" s="94">
        <f t="shared" si="6"/>
        <v>3667.1828927787105</v>
      </c>
      <c r="I12" s="94">
        <f t="shared" si="6"/>
        <v>3899.3155698916021</v>
      </c>
      <c r="J12" s="94">
        <f t="shared" si="6"/>
        <v>4146.1422454657404</v>
      </c>
      <c r="K12" s="94">
        <f>K7-K11</f>
        <v>4408.5930496037217</v>
      </c>
      <c r="L12" s="94">
        <f>L7-L11</f>
        <v>4687.6569896436367</v>
      </c>
      <c r="O12" s="190" t="s">
        <v>343</v>
      </c>
      <c r="P12" s="191">
        <v>0.75480000000000003</v>
      </c>
    </row>
    <row r="13" spans="2:16">
      <c r="B13" s="78" t="s">
        <v>239</v>
      </c>
      <c r="C13" s="104">
        <f t="shared" ref="C13:J13" si="7">IF(C$7,C12/C$7,0)</f>
        <v>0.51098668707578909</v>
      </c>
      <c r="D13" s="104">
        <f t="shared" si="7"/>
        <v>0.49948441044678171</v>
      </c>
      <c r="E13" s="104">
        <f t="shared" si="7"/>
        <v>0.48345226922600182</v>
      </c>
      <c r="F13" s="104">
        <f t="shared" si="7"/>
        <v>0.49042572659668265</v>
      </c>
      <c r="G13" s="104">
        <f t="shared" si="7"/>
        <v>0.48597541758588086</v>
      </c>
      <c r="H13" s="104">
        <f t="shared" si="7"/>
        <v>0.49406490218622701</v>
      </c>
      <c r="I13" s="104">
        <f t="shared" si="7"/>
        <v>0.49406490218622701</v>
      </c>
      <c r="J13" s="104">
        <f t="shared" si="7"/>
        <v>0.49406490218622701</v>
      </c>
      <c r="K13" s="104">
        <f>IF(K$7,K12/K$7,0)</f>
        <v>0.49406490218622701</v>
      </c>
      <c r="L13" s="104">
        <f>IF(L$7,L12/L$7,0)</f>
        <v>0.49406490218622701</v>
      </c>
      <c r="O13" s="190" t="s">
        <v>344</v>
      </c>
      <c r="P13" s="191">
        <v>0.2452</v>
      </c>
    </row>
    <row r="14" spans="2:16">
      <c r="K14" s="32"/>
      <c r="L14" s="32"/>
      <c r="O14" s="190" t="s">
        <v>346</v>
      </c>
      <c r="P14" s="191">
        <v>4.0800000000000003E-2</v>
      </c>
    </row>
    <row r="15" spans="2:16">
      <c r="B15" s="32" t="s">
        <v>240</v>
      </c>
      <c r="C15" s="93">
        <f>'Organized PL&amp;BS'!C9</f>
        <v>1400.2</v>
      </c>
      <c r="D15" s="93">
        <f>'Organized PL&amp;BS'!D9</f>
        <v>1458.2</v>
      </c>
      <c r="E15" s="93">
        <f>'Organized PL&amp;BS'!E9</f>
        <v>1426</v>
      </c>
      <c r="F15" s="93">
        <f>'Organized PL&amp;BS'!F9</f>
        <v>1559.8</v>
      </c>
      <c r="G15" s="93">
        <f>'Organized PL&amp;BS'!G9</f>
        <v>1762.2</v>
      </c>
      <c r="H15" s="73"/>
      <c r="I15" s="73"/>
      <c r="J15" s="73"/>
      <c r="K15" s="73"/>
      <c r="L15" s="73"/>
      <c r="O15" s="190" t="s">
        <v>347</v>
      </c>
      <c r="P15" s="191">
        <v>1.6199999999999999E-2</v>
      </c>
    </row>
    <row r="16" spans="2:16">
      <c r="B16" s="74" t="s">
        <v>237</v>
      </c>
      <c r="C16" s="97">
        <f>IFERROR(C15/C$7,"N/A")</f>
        <v>0.28200841876296551</v>
      </c>
      <c r="D16" s="97">
        <f t="shared" ref="D16:G16" si="8">IFERROR(D15/D$7,"N/A")</f>
        <v>0.27339370418283743</v>
      </c>
      <c r="E16" s="97">
        <f t="shared" si="8"/>
        <v>0.25251004904998847</v>
      </c>
      <c r="F16" s="97">
        <f t="shared" si="8"/>
        <v>0.25949525029529691</v>
      </c>
      <c r="G16" s="97">
        <f t="shared" si="8"/>
        <v>0.25244248345414433</v>
      </c>
      <c r="H16" s="220">
        <v>0.26396998114904702</v>
      </c>
      <c r="I16" s="90">
        <f>H16</f>
        <v>0.26396998114904702</v>
      </c>
      <c r="J16" s="90">
        <f>I16</f>
        <v>0.26396998114904702</v>
      </c>
      <c r="K16" s="90">
        <f>J16</f>
        <v>0.26396998114904702</v>
      </c>
      <c r="L16" s="90">
        <f>K16</f>
        <v>0.26396998114904702</v>
      </c>
      <c r="O16" s="190" t="s">
        <v>348</v>
      </c>
      <c r="P16" s="193">
        <v>0.37</v>
      </c>
    </row>
    <row r="17" spans="2:16">
      <c r="B17" s="76" t="str">
        <f>B15</f>
        <v>SGA</v>
      </c>
      <c r="C17" s="91">
        <f>C15</f>
        <v>1400.2</v>
      </c>
      <c r="D17" s="91">
        <f t="shared" ref="D17:G17" si="9">D15</f>
        <v>1458.2</v>
      </c>
      <c r="E17" s="91">
        <f t="shared" si="9"/>
        <v>1426</v>
      </c>
      <c r="F17" s="91">
        <f t="shared" si="9"/>
        <v>1559.8</v>
      </c>
      <c r="G17" s="91">
        <f t="shared" si="9"/>
        <v>1762.2</v>
      </c>
      <c r="H17" s="91">
        <f>IF(H15,H15,H$7*H16)</f>
        <v>1959.3097886399296</v>
      </c>
      <c r="I17" s="91">
        <f t="shared" ref="I17:L17" si="10">IF(I15,I15,I$7*I16)</f>
        <v>2083.334098260837</v>
      </c>
      <c r="J17" s="91">
        <f t="shared" si="10"/>
        <v>2215.2091466807474</v>
      </c>
      <c r="K17" s="91">
        <f t="shared" si="10"/>
        <v>2355.4318856656387</v>
      </c>
      <c r="L17" s="91">
        <f t="shared" si="10"/>
        <v>2504.5307240282737</v>
      </c>
      <c r="O17" s="190" t="s">
        <v>349</v>
      </c>
      <c r="P17" s="191">
        <v>4.4299999999999999E-2</v>
      </c>
    </row>
    <row r="18" spans="2:16">
      <c r="K18" s="32"/>
      <c r="L18" s="32"/>
      <c r="O18" s="190" t="s">
        <v>350</v>
      </c>
      <c r="P18" s="191">
        <v>2.46E-2</v>
      </c>
    </row>
    <row r="19" spans="2:16">
      <c r="B19" s="77" t="s">
        <v>182</v>
      </c>
      <c r="C19" s="94">
        <f>C12-C17</f>
        <v>1136.9000000000003</v>
      </c>
      <c r="D19" s="94">
        <f t="shared" ref="D19:L19" si="11">D12-D17</f>
        <v>1205.8999999999994</v>
      </c>
      <c r="E19" s="94">
        <f t="shared" si="11"/>
        <v>1304.2000000000003</v>
      </c>
      <c r="F19" s="94">
        <f t="shared" si="11"/>
        <v>1388.0999999999997</v>
      </c>
      <c r="G19" s="94">
        <f t="shared" si="11"/>
        <v>1630.2</v>
      </c>
      <c r="H19" s="94">
        <f t="shared" si="11"/>
        <v>1707.8731041387809</v>
      </c>
      <c r="I19" s="94">
        <f t="shared" si="11"/>
        <v>1815.9814716307651</v>
      </c>
      <c r="J19" s="94">
        <f t="shared" si="11"/>
        <v>1930.933098784993</v>
      </c>
      <c r="K19" s="94">
        <f t="shared" si="11"/>
        <v>2053.1611639380831</v>
      </c>
      <c r="L19" s="94">
        <f t="shared" si="11"/>
        <v>2183.1262656153631</v>
      </c>
      <c r="O19" s="190" t="s">
        <v>351</v>
      </c>
      <c r="P19" s="192">
        <v>0.63</v>
      </c>
    </row>
    <row r="20" spans="2:16">
      <c r="B20" s="78" t="s">
        <v>241</v>
      </c>
      <c r="C20" s="104">
        <f t="shared" ref="C20:J20" si="12">IF(C$7,C19/C$7,0)</f>
        <v>0.22897826831282356</v>
      </c>
      <c r="D20" s="104">
        <f t="shared" si="12"/>
        <v>0.22609070626394426</v>
      </c>
      <c r="E20" s="104">
        <f t="shared" si="12"/>
        <v>0.23094222017601335</v>
      </c>
      <c r="F20" s="104">
        <f t="shared" si="12"/>
        <v>0.23093047630138577</v>
      </c>
      <c r="G20" s="104">
        <f t="shared" si="12"/>
        <v>0.23353293413173651</v>
      </c>
      <c r="H20" s="104">
        <f t="shared" si="12"/>
        <v>0.23009492103717999</v>
      </c>
      <c r="I20" s="104">
        <f t="shared" si="12"/>
        <v>0.23009492103717993</v>
      </c>
      <c r="J20" s="104">
        <f t="shared" si="12"/>
        <v>0.23009492103718002</v>
      </c>
      <c r="K20" s="104">
        <f>IF(K$7,K19/K$7,0)</f>
        <v>0.23009492103718002</v>
      </c>
      <c r="L20" s="104">
        <f>IF(L$7,L19/L$7,0)</f>
        <v>0.23009492103717999</v>
      </c>
      <c r="O20" s="190" t="s">
        <v>352</v>
      </c>
      <c r="P20" s="191">
        <v>3.8699999999999998E-2</v>
      </c>
    </row>
    <row r="21" spans="2:16" ht="16" thickBot="1">
      <c r="K21" s="32"/>
      <c r="L21" s="32"/>
      <c r="O21" s="194" t="s">
        <v>353</v>
      </c>
      <c r="P21" s="223">
        <v>1.38</v>
      </c>
    </row>
    <row r="22" spans="2:16">
      <c r="B22" s="32" t="s">
        <v>95</v>
      </c>
      <c r="C22" s="93">
        <f>'Organized PL&amp;BS'!C13</f>
        <v>134.1</v>
      </c>
      <c r="D22" s="93">
        <f>'Organized PL&amp;BS'!D13</f>
        <v>144.6</v>
      </c>
      <c r="E22" s="93">
        <f>'Organized PL&amp;BS'!E13</f>
        <v>153.30000000000001</v>
      </c>
      <c r="F22" s="93">
        <f>'Organized PL&amp;BS'!F13</f>
        <v>159.9</v>
      </c>
      <c r="G22" s="93">
        <f>'Organized PL&amp;BS'!G13</f>
        <v>165.9</v>
      </c>
      <c r="H22" s="73"/>
      <c r="I22" s="73"/>
      <c r="J22" s="73"/>
      <c r="K22" s="73"/>
      <c r="L22" s="73"/>
    </row>
    <row r="23" spans="2:16">
      <c r="B23" s="74" t="s">
        <v>242</v>
      </c>
      <c r="C23" s="97" t="str">
        <f>IFERROR(C22/B90,"NA")</f>
        <v>NA</v>
      </c>
      <c r="D23" s="97">
        <f>IFERROR(D22/C90,"NA")</f>
        <v>8.2808383919367762E-2</v>
      </c>
      <c r="E23" s="97">
        <f>IFERROR(E22/D90,"NA")</f>
        <v>6.9363377222750114E-2</v>
      </c>
      <c r="F23" s="97">
        <f>IFERROR(F22/E90,"NA")</f>
        <v>6.8697370682247808E-2</v>
      </c>
      <c r="G23" s="97">
        <f>IFERROR(G22/F90,"NA")</f>
        <v>6.8005738880918223E-2</v>
      </c>
      <c r="H23" s="220">
        <v>7.2218717676321001E-2</v>
      </c>
      <c r="I23" s="90">
        <f>H23</f>
        <v>7.2218717676321001E-2</v>
      </c>
      <c r="J23" s="90">
        <f>I23</f>
        <v>7.2218717676321001E-2</v>
      </c>
      <c r="K23" s="90">
        <f>J23</f>
        <v>7.2218717676321001E-2</v>
      </c>
      <c r="L23" s="90">
        <f>K23</f>
        <v>7.2218717676321001E-2</v>
      </c>
    </row>
    <row r="24" spans="2:16">
      <c r="B24" s="76" t="str">
        <f>B22</f>
        <v>Depreciation &amp; Amort.</v>
      </c>
      <c r="C24" s="91">
        <f>C22</f>
        <v>134.1</v>
      </c>
      <c r="D24" s="91">
        <f t="shared" ref="D24:G24" si="13">D22</f>
        <v>144.6</v>
      </c>
      <c r="E24" s="91">
        <f t="shared" si="13"/>
        <v>153.30000000000001</v>
      </c>
      <c r="F24" s="91">
        <f t="shared" si="13"/>
        <v>159.9</v>
      </c>
      <c r="G24" s="91">
        <f t="shared" si="13"/>
        <v>165.9</v>
      </c>
      <c r="H24" s="91">
        <f>IF(H22,H22,G90*H23)</f>
        <v>184.47549243239436</v>
      </c>
      <c r="I24" s="91">
        <f t="shared" ref="I24:L24" si="14">IF(I22,I22,H90*I23)</f>
        <v>194.9068063293976</v>
      </c>
      <c r="J24" s="91">
        <f t="shared" si="14"/>
        <v>207.70834088468533</v>
      </c>
      <c r="K24" s="91">
        <f t="shared" si="14"/>
        <v>223.13836890625561</v>
      </c>
      <c r="L24" s="91">
        <f t="shared" si="14"/>
        <v>241.4783633261456</v>
      </c>
    </row>
    <row r="25" spans="2:16">
      <c r="K25" s="32"/>
      <c r="L25" s="32"/>
    </row>
    <row r="26" spans="2:16">
      <c r="B26" s="32" t="s">
        <v>96</v>
      </c>
      <c r="C26" s="93">
        <f>'Organized PL&amp;BS'!C14</f>
        <v>4.0999999999999996</v>
      </c>
      <c r="D26" s="93">
        <f>'Organized PL&amp;BS'!D14</f>
        <v>4.0999999999999996</v>
      </c>
      <c r="E26" s="93">
        <f>'Organized PL&amp;BS'!E14</f>
        <v>9.1</v>
      </c>
      <c r="F26" s="93">
        <f>'Organized PL&amp;BS'!F14</f>
        <v>10.8</v>
      </c>
      <c r="G26" s="93">
        <f>'Organized PL&amp;BS'!G14</f>
        <v>10.7</v>
      </c>
      <c r="H26" s="93">
        <f>G26+0.1</f>
        <v>10.799999999999999</v>
      </c>
      <c r="I26" s="93">
        <f t="shared" ref="I26:L26" si="15">H26+0.1</f>
        <v>10.899999999999999</v>
      </c>
      <c r="J26" s="93">
        <f t="shared" si="15"/>
        <v>10.999999999999998</v>
      </c>
      <c r="K26" s="93">
        <f t="shared" si="15"/>
        <v>11.099999999999998</v>
      </c>
      <c r="L26" s="93">
        <f t="shared" si="15"/>
        <v>11.199999999999998</v>
      </c>
    </row>
    <row r="27" spans="2:16">
      <c r="B27" s="76" t="str">
        <f t="shared" ref="B27:J27" si="16">B26</f>
        <v>Amort. of Goodwill and Intangibles</v>
      </c>
      <c r="C27" s="91">
        <f t="shared" si="16"/>
        <v>4.0999999999999996</v>
      </c>
      <c r="D27" s="91">
        <f t="shared" si="16"/>
        <v>4.0999999999999996</v>
      </c>
      <c r="E27" s="91">
        <f t="shared" si="16"/>
        <v>9.1</v>
      </c>
      <c r="F27" s="91">
        <f t="shared" si="16"/>
        <v>10.8</v>
      </c>
      <c r="G27" s="91">
        <f t="shared" si="16"/>
        <v>10.7</v>
      </c>
      <c r="H27" s="91">
        <f t="shared" si="16"/>
        <v>10.799999999999999</v>
      </c>
      <c r="I27" s="91">
        <f t="shared" si="16"/>
        <v>10.899999999999999</v>
      </c>
      <c r="J27" s="91">
        <f t="shared" si="16"/>
        <v>10.999999999999998</v>
      </c>
      <c r="K27" s="91">
        <f>K26</f>
        <v>11.099999999999998</v>
      </c>
      <c r="L27" s="91">
        <f>L26</f>
        <v>11.199999999999998</v>
      </c>
    </row>
    <row r="28" spans="2:16">
      <c r="B28" s="77" t="s">
        <v>184</v>
      </c>
      <c r="C28" s="94">
        <f>C19-C24-C27</f>
        <v>998.70000000000027</v>
      </c>
      <c r="D28" s="94">
        <f t="shared" ref="D28:G28" si="17">D19-D24-D27</f>
        <v>1057.1999999999996</v>
      </c>
      <c r="E28" s="94">
        <f t="shared" si="17"/>
        <v>1141.8000000000004</v>
      </c>
      <c r="F28" s="94">
        <f t="shared" si="17"/>
        <v>1217.3999999999996</v>
      </c>
      <c r="G28" s="94">
        <f t="shared" si="17"/>
        <v>1453.6</v>
      </c>
      <c r="H28" s="94">
        <f>H19-H24-H27</f>
        <v>1512.5976117063867</v>
      </c>
      <c r="I28" s="94">
        <f>I19-I24-I27</f>
        <v>1610.1746653013674</v>
      </c>
      <c r="J28" s="94">
        <f>J19-J24-J27</f>
        <v>1712.2247579003076</v>
      </c>
      <c r="K28" s="94">
        <f>K19-K24-K27</f>
        <v>1818.9227950318275</v>
      </c>
      <c r="L28" s="94">
        <f>L19-L24-L27</f>
        <v>1930.4479022892174</v>
      </c>
    </row>
    <row r="29" spans="2:16">
      <c r="B29" s="78" t="s">
        <v>243</v>
      </c>
      <c r="C29" s="104">
        <f t="shared" ref="C29:J29" si="18">IF(C$7,C28/C$7,0)</f>
        <v>0.20114398501540759</v>
      </c>
      <c r="D29" s="104">
        <f t="shared" si="18"/>
        <v>0.19821137296810837</v>
      </c>
      <c r="E29" s="104">
        <f t="shared" si="18"/>
        <v>0.20218511501071315</v>
      </c>
      <c r="F29" s="104">
        <f t="shared" si="18"/>
        <v>0.20253206674541246</v>
      </c>
      <c r="G29" s="104">
        <f t="shared" si="18"/>
        <v>0.20823424920493938</v>
      </c>
      <c r="H29" s="104">
        <f t="shared" si="18"/>
        <v>0.20378623399079329</v>
      </c>
      <c r="I29" s="104">
        <f t="shared" si="18"/>
        <v>0.20401805759388075</v>
      </c>
      <c r="J29" s="104">
        <f t="shared" si="18"/>
        <v>0.20403307639963164</v>
      </c>
      <c r="K29" s="104">
        <f>IF(K$7,K28/K$7,0)</f>
        <v>0.20384415224999675</v>
      </c>
      <c r="L29" s="104">
        <f>IF(L$7,L28/L$7,0)</f>
        <v>0.20346338397354372</v>
      </c>
    </row>
    <row r="30" spans="2:16">
      <c r="K30" s="32"/>
      <c r="L30" s="32"/>
    </row>
    <row r="31" spans="2:16">
      <c r="B31" s="32" t="s">
        <v>152</v>
      </c>
      <c r="C31" s="96">
        <f>'Organized PL&amp;BS'!C18</f>
        <v>0.4</v>
      </c>
      <c r="D31" s="96">
        <f>'Organized PL&amp;BS'!D18</f>
        <v>0.4</v>
      </c>
      <c r="E31" s="96">
        <f>'Organized PL&amp;BS'!E18</f>
        <v>0.6</v>
      </c>
      <c r="F31" s="96">
        <f>'Organized PL&amp;BS'!F18</f>
        <v>0.1</v>
      </c>
      <c r="G31" s="96">
        <f>'Organized PL&amp;BS'!G18</f>
        <v>0.7</v>
      </c>
      <c r="K31" s="32"/>
      <c r="L31" s="32"/>
    </row>
    <row r="32" spans="2:16">
      <c r="B32" s="111" t="s">
        <v>245</v>
      </c>
      <c r="H32" s="100">
        <f ca="1">H67</f>
        <v>2.8865335876067415</v>
      </c>
      <c r="I32" s="100">
        <f t="shared" ref="I32:L32" ca="1" si="19">I67</f>
        <v>7.689364714167092</v>
      </c>
      <c r="J32" s="100">
        <f t="shared" ca="1" si="19"/>
        <v>13.791580522414657</v>
      </c>
      <c r="K32" s="100">
        <f t="shared" ca="1" si="19"/>
        <v>17.834884512466314</v>
      </c>
      <c r="L32" s="100">
        <f t="shared" ca="1" si="19"/>
        <v>19.373563913549585</v>
      </c>
    </row>
    <row r="33" spans="2:12">
      <c r="B33" s="111" t="s">
        <v>311</v>
      </c>
      <c r="H33" s="100">
        <f>H73</f>
        <v>12.215190744235541</v>
      </c>
      <c r="I33" s="100">
        <f t="shared" ref="I33:L33" si="20">I73</f>
        <v>13.619329010581188</v>
      </c>
      <c r="J33" s="100">
        <f t="shared" si="20"/>
        <v>14.481432536950978</v>
      </c>
      <c r="K33" s="100">
        <f t="shared" si="20"/>
        <v>15.398107216539971</v>
      </c>
      <c r="L33" s="100">
        <f t="shared" si="20"/>
        <v>16.37280740334695</v>
      </c>
    </row>
    <row r="34" spans="2:12">
      <c r="B34" s="76" t="str">
        <f t="shared" ref="B34:G34" si="21">B31</f>
        <v>Interest and Invest. Income</v>
      </c>
      <c r="C34" s="91">
        <f t="shared" si="21"/>
        <v>0.4</v>
      </c>
      <c r="D34" s="91">
        <f t="shared" si="21"/>
        <v>0.4</v>
      </c>
      <c r="E34" s="91">
        <f t="shared" si="21"/>
        <v>0.6</v>
      </c>
      <c r="F34" s="91">
        <f t="shared" si="21"/>
        <v>0.1</v>
      </c>
      <c r="G34" s="91">
        <f t="shared" si="21"/>
        <v>0.7</v>
      </c>
      <c r="H34" s="91">
        <f ca="1">IF(H31,H31,SUM(H32:H33))</f>
        <v>15.101724331842282</v>
      </c>
      <c r="I34" s="91">
        <f ca="1">IF(I31,I31,SUM(I32:I33))</f>
        <v>21.308693724748281</v>
      </c>
      <c r="J34" s="91">
        <f ca="1">IF(J31,J31,SUM(J32:J33))</f>
        <v>28.273013059365635</v>
      </c>
      <c r="K34" s="91">
        <f ca="1">IF(K31,K31,SUM(K32:K33))</f>
        <v>33.232991729006287</v>
      </c>
      <c r="L34" s="91">
        <f ca="1">IF(L31,L31,SUM(L32:L33))</f>
        <v>35.746371316896536</v>
      </c>
    </row>
    <row r="35" spans="2:12">
      <c r="K35" s="32"/>
      <c r="L35" s="32"/>
    </row>
    <row r="36" spans="2:12">
      <c r="B36" s="32" t="s">
        <v>246</v>
      </c>
      <c r="C36" s="155">
        <v>12.6</v>
      </c>
      <c r="D36" s="155">
        <v>13.9</v>
      </c>
      <c r="E36" s="155">
        <v>9.6999999999999993</v>
      </c>
      <c r="F36" s="155">
        <v>9.6999999999999993</v>
      </c>
      <c r="G36" s="155">
        <v>14.3</v>
      </c>
      <c r="K36" s="32"/>
      <c r="L36" s="32"/>
    </row>
    <row r="37" spans="2:12">
      <c r="B37" s="111" t="s">
        <v>247</v>
      </c>
      <c r="H37" s="140">
        <f ca="1">H119</f>
        <v>0</v>
      </c>
      <c r="I37" s="140">
        <f t="shared" ref="I37:L37" ca="1" si="22">I119</f>
        <v>0</v>
      </c>
      <c r="J37" s="140">
        <f t="shared" ca="1" si="22"/>
        <v>0</v>
      </c>
      <c r="K37" s="140">
        <f t="shared" ca="1" si="22"/>
        <v>0</v>
      </c>
      <c r="L37" s="140">
        <f t="shared" ca="1" si="22"/>
        <v>0</v>
      </c>
    </row>
    <row r="38" spans="2:12">
      <c r="B38" s="111" t="s">
        <v>248</v>
      </c>
      <c r="H38" s="156">
        <f>H125</f>
        <v>19.741504807237916</v>
      </c>
      <c r="I38" s="156">
        <f t="shared" ref="I38:L38" si="23">I125</f>
        <v>19.874802933741819</v>
      </c>
      <c r="J38" s="156">
        <f t="shared" si="23"/>
        <v>20.009001112734275</v>
      </c>
      <c r="K38" s="156">
        <f t="shared" si="23"/>
        <v>20.144105421528614</v>
      </c>
      <c r="L38" s="156">
        <f t="shared" si="23"/>
        <v>20.280121978473275</v>
      </c>
    </row>
    <row r="39" spans="2:12">
      <c r="B39" s="76" t="str">
        <f t="shared" ref="B39:G39" si="24">B36</f>
        <v>Interest expense</v>
      </c>
      <c r="C39" s="157">
        <f t="shared" si="24"/>
        <v>12.6</v>
      </c>
      <c r="D39" s="157">
        <f t="shared" si="24"/>
        <v>13.9</v>
      </c>
      <c r="E39" s="157">
        <f t="shared" si="24"/>
        <v>9.6999999999999993</v>
      </c>
      <c r="F39" s="157">
        <f t="shared" si="24"/>
        <v>9.6999999999999993</v>
      </c>
      <c r="G39" s="157">
        <f t="shared" si="24"/>
        <v>14.3</v>
      </c>
      <c r="H39" s="157">
        <f ca="1">IF(H36,H36,SUM(H37:H38))</f>
        <v>19.741504807237916</v>
      </c>
      <c r="I39" s="157">
        <f ca="1">IF(I36,I36,SUM(I37:I38))</f>
        <v>19.874802933741819</v>
      </c>
      <c r="J39" s="157">
        <f ca="1">IF(J36,J36,SUM(J37:J38))</f>
        <v>20.009001112734275</v>
      </c>
      <c r="K39" s="157">
        <f ca="1">IF(K36,K36,SUM(K37:K38))</f>
        <v>20.144105421528614</v>
      </c>
      <c r="L39" s="157">
        <f ca="1">IF(L36,L36,SUM(L37:L38))</f>
        <v>20.280121978473275</v>
      </c>
    </row>
    <row r="40" spans="2:12">
      <c r="B40" s="76"/>
      <c r="C40" s="141"/>
      <c r="D40" s="141"/>
      <c r="E40" s="141"/>
      <c r="F40" s="141"/>
      <c r="G40" s="141"/>
      <c r="H40" s="139"/>
      <c r="I40" s="139"/>
      <c r="J40" s="139"/>
      <c r="K40" s="139"/>
      <c r="L40" s="139"/>
    </row>
    <row r="41" spans="2:12">
      <c r="B41" s="142" t="s">
        <v>312</v>
      </c>
      <c r="C41" s="159">
        <f>'[1]Organized PL+BS'!C20</f>
        <v>0.5</v>
      </c>
      <c r="D41" s="143">
        <f>'[1]Organized PL+BS'!D20</f>
        <v>0</v>
      </c>
      <c r="E41" s="143">
        <f>'[1]Organized PL+BS'!E20</f>
        <v>0</v>
      </c>
      <c r="F41" s="143">
        <f>'[1]Organized PL+BS'!F20</f>
        <v>0</v>
      </c>
      <c r="G41" s="143">
        <f>'[1]Organized PL+BS'!G20</f>
        <v>0</v>
      </c>
      <c r="H41" s="144">
        <v>0</v>
      </c>
      <c r="I41" s="144">
        <f>H41</f>
        <v>0</v>
      </c>
      <c r="J41" s="144">
        <f t="shared" ref="J41:L41" si="25">I41</f>
        <v>0</v>
      </c>
      <c r="K41" s="144">
        <f t="shared" si="25"/>
        <v>0</v>
      </c>
      <c r="L41" s="144">
        <f t="shared" si="25"/>
        <v>0</v>
      </c>
    </row>
    <row r="42" spans="2:12">
      <c r="B42" s="32" t="s">
        <v>312</v>
      </c>
      <c r="C42" s="160">
        <f>C41</f>
        <v>0.5</v>
      </c>
      <c r="D42" s="145">
        <f t="shared" ref="D42:L42" si="26">D41</f>
        <v>0</v>
      </c>
      <c r="E42" s="145">
        <f t="shared" si="26"/>
        <v>0</v>
      </c>
      <c r="F42" s="145">
        <f t="shared" si="26"/>
        <v>0</v>
      </c>
      <c r="G42" s="145">
        <f t="shared" si="26"/>
        <v>0</v>
      </c>
      <c r="H42" s="145">
        <f t="shared" si="26"/>
        <v>0</v>
      </c>
      <c r="I42" s="145">
        <f t="shared" si="26"/>
        <v>0</v>
      </c>
      <c r="J42" s="145">
        <f t="shared" si="26"/>
        <v>0</v>
      </c>
      <c r="K42" s="145">
        <f t="shared" si="26"/>
        <v>0</v>
      </c>
      <c r="L42" s="145">
        <f t="shared" si="26"/>
        <v>0</v>
      </c>
    </row>
    <row r="43" spans="2:12">
      <c r="B43" s="77" t="s">
        <v>249</v>
      </c>
      <c r="C43" s="158">
        <f t="shared" ref="C43:L43" si="27">C28+C34-C39+C42</f>
        <v>987.00000000000023</v>
      </c>
      <c r="D43" s="158">
        <f t="shared" si="27"/>
        <v>1043.6999999999996</v>
      </c>
      <c r="E43" s="158">
        <f t="shared" si="27"/>
        <v>1132.7000000000003</v>
      </c>
      <c r="F43" s="158">
        <f t="shared" si="27"/>
        <v>1207.7999999999995</v>
      </c>
      <c r="G43" s="158">
        <f t="shared" si="27"/>
        <v>1440</v>
      </c>
      <c r="H43" s="158">
        <f t="shared" ca="1" si="27"/>
        <v>1507.9578312309909</v>
      </c>
      <c r="I43" s="158">
        <f t="shared" ca="1" si="27"/>
        <v>1611.6085560923739</v>
      </c>
      <c r="J43" s="158">
        <f t="shared" ca="1" si="27"/>
        <v>1720.488769846939</v>
      </c>
      <c r="K43" s="158">
        <f t="shared" ca="1" si="27"/>
        <v>1832.0116813393051</v>
      </c>
      <c r="L43" s="158">
        <f t="shared" ca="1" si="27"/>
        <v>1945.9141516276406</v>
      </c>
    </row>
    <row r="44" spans="2:12">
      <c r="B44" s="79" t="s">
        <v>250</v>
      </c>
      <c r="C44" s="104">
        <f t="shared" ref="C44:L44" si="28">IF(C$7,C43/C$7,0)</f>
        <v>0.19878753700831808</v>
      </c>
      <c r="D44" s="104">
        <f t="shared" si="28"/>
        <v>0.19568029697958259</v>
      </c>
      <c r="E44" s="104">
        <f t="shared" si="28"/>
        <v>0.20057372549714028</v>
      </c>
      <c r="F44" s="104">
        <f t="shared" si="28"/>
        <v>0.20093496814121006</v>
      </c>
      <c r="G44" s="104">
        <f t="shared" si="28"/>
        <v>0.20628599260808525</v>
      </c>
      <c r="H44" s="104">
        <f t="shared" ca="1" si="28"/>
        <v>0.20316113490144708</v>
      </c>
      <c r="I44" s="104">
        <f t="shared" ca="1" si="28"/>
        <v>0.20419973950720793</v>
      </c>
      <c r="J44" s="104">
        <f t="shared" ca="1" si="28"/>
        <v>0.20501783717539698</v>
      </c>
      <c r="K44" s="104">
        <f t="shared" ca="1" si="28"/>
        <v>0.20531100556588897</v>
      </c>
      <c r="L44" s="104">
        <f t="shared" ca="1" si="28"/>
        <v>0.20509347998599892</v>
      </c>
    </row>
    <row r="45" spans="2:12">
      <c r="K45" s="32"/>
      <c r="L45" s="32"/>
    </row>
    <row r="46" spans="2:12">
      <c r="B46" s="36" t="s">
        <v>160</v>
      </c>
      <c r="C46" s="93">
        <f>'Organized PL&amp;BS'!C24</f>
        <v>235.1</v>
      </c>
      <c r="D46" s="93">
        <f>'Organized PL&amp;BS'!D24</f>
        <v>252.8</v>
      </c>
      <c r="E46" s="93">
        <f>'Organized PL&amp;BS'!E24</f>
        <v>273.60000000000002</v>
      </c>
      <c r="F46" s="93">
        <f>'Organized PL&amp;BS'!F24</f>
        <v>282.8</v>
      </c>
      <c r="G46" s="93">
        <f>'Organized PL&amp;BS'!G24</f>
        <v>353.1</v>
      </c>
      <c r="H46" s="73"/>
      <c r="I46" s="73"/>
      <c r="J46" s="73"/>
      <c r="K46" s="73"/>
      <c r="L46" s="73"/>
    </row>
    <row r="47" spans="2:12">
      <c r="B47" s="80" t="s">
        <v>251</v>
      </c>
      <c r="C47" s="97">
        <f>IFERROR(C46/C43,"na")</f>
        <v>0.23819655521783176</v>
      </c>
      <c r="D47" s="97">
        <f t="shared" ref="D47:G47" si="29">IFERROR(D46/D43,"na")</f>
        <v>0.24221519593753005</v>
      </c>
      <c r="E47" s="97">
        <f t="shared" si="29"/>
        <v>0.2415467467113975</v>
      </c>
      <c r="F47" s="97">
        <f t="shared" si="29"/>
        <v>0.23414472594800476</v>
      </c>
      <c r="G47" s="97">
        <f t="shared" si="29"/>
        <v>0.24520833333333336</v>
      </c>
      <c r="H47" s="220">
        <v>0.24026231142961901</v>
      </c>
      <c r="I47" s="90">
        <f>H47</f>
        <v>0.24026231142961901</v>
      </c>
      <c r="J47" s="90">
        <f>I47</f>
        <v>0.24026231142961901</v>
      </c>
      <c r="K47" s="90">
        <f>J47</f>
        <v>0.24026231142961901</v>
      </c>
      <c r="L47" s="90">
        <f>K47</f>
        <v>0.24026231142961901</v>
      </c>
    </row>
    <row r="48" spans="2:12">
      <c r="B48" s="76" t="str">
        <f>B46</f>
        <v>Income Tax Expense</v>
      </c>
      <c r="C48" s="91">
        <f>C46</f>
        <v>235.1</v>
      </c>
      <c r="D48" s="91">
        <f t="shared" ref="D48:G48" si="30">D46</f>
        <v>252.8</v>
      </c>
      <c r="E48" s="91">
        <f t="shared" si="30"/>
        <v>273.60000000000002</v>
      </c>
      <c r="F48" s="91">
        <f t="shared" si="30"/>
        <v>282.8</v>
      </c>
      <c r="G48" s="91">
        <f t="shared" si="30"/>
        <v>353.1</v>
      </c>
      <c r="H48" s="91">
        <f ca="1">IF(H46,H46,H43*H47)</f>
        <v>362.30543406995321</v>
      </c>
      <c r="I48" s="91">
        <f t="shared" ref="I48:L48" ca="1" si="31">IF(I46,I46,I43*I47)</f>
        <v>387.20879680650455</v>
      </c>
      <c r="J48" s="91">
        <f t="shared" ca="1" si="31"/>
        <v>413.36860863212735</v>
      </c>
      <c r="K48" s="91">
        <f t="shared" ca="1" si="31"/>
        <v>440.1633611246441</v>
      </c>
      <c r="L48" s="91">
        <f t="shared" ca="1" si="31"/>
        <v>467.52983191366309</v>
      </c>
    </row>
    <row r="49" spans="2:12">
      <c r="K49" s="32"/>
      <c r="L49" s="32"/>
    </row>
    <row r="50" spans="2:12" ht="16" thickBot="1">
      <c r="B50" s="81" t="s">
        <v>252</v>
      </c>
      <c r="C50" s="161">
        <f>C43-C48</f>
        <v>751.9000000000002</v>
      </c>
      <c r="D50" s="161">
        <f t="shared" ref="D50:L50" si="32">D43-D48</f>
        <v>790.89999999999964</v>
      </c>
      <c r="E50" s="161">
        <f>E43-E48</f>
        <v>859.10000000000025</v>
      </c>
      <c r="F50" s="161">
        <f t="shared" si="32"/>
        <v>924.99999999999955</v>
      </c>
      <c r="G50" s="161">
        <f t="shared" si="32"/>
        <v>1086.9000000000001</v>
      </c>
      <c r="H50" s="161">
        <f t="shared" ca="1" si="32"/>
        <v>1145.6523971610377</v>
      </c>
      <c r="I50" s="161">
        <f t="shared" ca="1" si="32"/>
        <v>1224.3997592858693</v>
      </c>
      <c r="J50" s="161">
        <f t="shared" ca="1" si="32"/>
        <v>1307.1201612148116</v>
      </c>
      <c r="K50" s="161">
        <f t="shared" ca="1" si="32"/>
        <v>1391.848320214661</v>
      </c>
      <c r="L50" s="161">
        <f t="shared" ca="1" si="32"/>
        <v>1478.3843197139777</v>
      </c>
    </row>
    <row r="51" spans="2:12" ht="16" thickTop="1">
      <c r="B51" s="78" t="s">
        <v>253</v>
      </c>
      <c r="C51" s="104">
        <f t="shared" ref="C51:J51" si="33">IF(C$7,C50/C$7,0)</f>
        <v>0.15143703047269946</v>
      </c>
      <c r="D51" s="104">
        <f t="shared" si="33"/>
        <v>0.14828355550555894</v>
      </c>
      <c r="E51" s="104">
        <f t="shared" si="33"/>
        <v>0.15212579462752115</v>
      </c>
      <c r="F51" s="104">
        <f t="shared" si="33"/>
        <v>0.15388710509241538</v>
      </c>
      <c r="G51" s="104">
        <f t="shared" si="33"/>
        <v>0.15570294817064437</v>
      </c>
      <c r="H51" s="104">
        <f t="shared" ca="1" si="33"/>
        <v>0.15434917103736076</v>
      </c>
      <c r="I51" s="104">
        <f t="shared" ca="1" si="33"/>
        <v>0.15513823809988006</v>
      </c>
      <c r="J51" s="104">
        <f t="shared" ca="1" si="33"/>
        <v>0.15575977773133481</v>
      </c>
      <c r="K51" s="104">
        <f ca="1">IF(K$7,K50/K$7,0)</f>
        <v>0.1559825088066891</v>
      </c>
      <c r="L51" s="104">
        <f ca="1">IF(L$7,L50/L$7,0)</f>
        <v>0.15581724642541853</v>
      </c>
    </row>
    <row r="52" spans="2:12">
      <c r="B52" s="78"/>
      <c r="C52" s="104"/>
      <c r="D52" s="104"/>
      <c r="E52" s="104"/>
      <c r="F52" s="104"/>
      <c r="G52" s="104"/>
      <c r="H52" s="104"/>
      <c r="I52" s="104"/>
      <c r="J52" s="104"/>
      <c r="K52" s="104"/>
      <c r="L52" s="104"/>
    </row>
    <row r="53" spans="2:12">
      <c r="B53" s="78" t="s">
        <v>329</v>
      </c>
      <c r="C53" s="182">
        <f>-'Organized PL&amp;BS'!C28</f>
        <v>441.9</v>
      </c>
      <c r="D53" s="182">
        <f>-'Organized PL&amp;BS'!D28</f>
        <v>498.6</v>
      </c>
      <c r="E53" s="182">
        <f>-'Organized PL&amp;BS'!E28</f>
        <v>573.9</v>
      </c>
      <c r="F53" s="182">
        <f>-'Organized PL&amp;BS'!F28</f>
        <v>643.70000000000005</v>
      </c>
      <c r="G53" s="182">
        <f>-'Organized PL&amp;BS'!G28</f>
        <v>711.3</v>
      </c>
      <c r="H53" s="182">
        <f>G53*($G$53/$C$53)^(1/5)</f>
        <v>782.34546622600737</v>
      </c>
      <c r="I53" s="182">
        <f t="shared" ref="I53:L53" si="34">H53*($G$53/$C$53)^(1/5)</f>
        <v>860.4870357435525</v>
      </c>
      <c r="J53" s="182">
        <f t="shared" si="34"/>
        <v>946.43347555212245</v>
      </c>
      <c r="K53" s="182">
        <f t="shared" si="34"/>
        <v>1040.9643451184111</v>
      </c>
      <c r="L53" s="182">
        <f t="shared" si="34"/>
        <v>1144.9370672097762</v>
      </c>
    </row>
    <row r="54" spans="2:12">
      <c r="B54" s="78" t="s">
        <v>330</v>
      </c>
      <c r="C54" s="183">
        <f>-'Organized PL&amp;BS'!C29</f>
        <v>103</v>
      </c>
      <c r="D54" s="184">
        <v>0</v>
      </c>
      <c r="E54" s="183">
        <f>-'Organized PL&amp;BS'!E29</f>
        <v>52</v>
      </c>
      <c r="F54" s="184">
        <f>-'Organized PL&amp;BS'!F29</f>
        <v>0</v>
      </c>
      <c r="G54" s="183">
        <f>-'Organized PL&amp;BS'!G29</f>
        <v>237.8</v>
      </c>
      <c r="H54" s="184">
        <v>0</v>
      </c>
      <c r="I54" s="183">
        <f>AVERAGE(C54, E54, G54)</f>
        <v>130.93333333333334</v>
      </c>
      <c r="J54" s="184">
        <v>0</v>
      </c>
      <c r="K54" s="183">
        <f>AVERAGE(C54, E54, G54)</f>
        <v>130.93333333333334</v>
      </c>
      <c r="L54" s="183">
        <v>0</v>
      </c>
    </row>
    <row r="55" spans="2:12">
      <c r="B55" s="32" t="s">
        <v>254</v>
      </c>
      <c r="C55" s="93">
        <f>C53+C54</f>
        <v>544.9</v>
      </c>
      <c r="D55" s="93">
        <f t="shared" ref="D55:L55" si="35">D53+D54</f>
        <v>498.6</v>
      </c>
      <c r="E55" s="93">
        <f t="shared" si="35"/>
        <v>625.9</v>
      </c>
      <c r="F55" s="93">
        <f t="shared" si="35"/>
        <v>643.70000000000005</v>
      </c>
      <c r="G55" s="93">
        <f t="shared" si="35"/>
        <v>949.09999999999991</v>
      </c>
      <c r="H55" s="93">
        <f t="shared" si="35"/>
        <v>782.34546622600737</v>
      </c>
      <c r="I55" s="93">
        <f t="shared" si="35"/>
        <v>991.42036907688589</v>
      </c>
      <c r="J55" s="93">
        <f t="shared" si="35"/>
        <v>946.43347555212245</v>
      </c>
      <c r="K55" s="93">
        <f t="shared" si="35"/>
        <v>1171.8976784517445</v>
      </c>
      <c r="L55" s="93">
        <f t="shared" si="35"/>
        <v>1144.9370672097762</v>
      </c>
    </row>
    <row r="56" spans="2:12">
      <c r="B56" s="74" t="s">
        <v>255</v>
      </c>
      <c r="C56" s="97">
        <f>IFERROR(C55/C50,"na")</f>
        <v>0.72469743316930424</v>
      </c>
      <c r="D56" s="97">
        <f t="shared" ref="D56:G56" si="36">IFERROR(D55/D50,"na")</f>
        <v>0.63042103932229143</v>
      </c>
      <c r="E56" s="97">
        <f t="shared" si="36"/>
        <v>0.72855313700384094</v>
      </c>
      <c r="F56" s="97">
        <f t="shared" si="36"/>
        <v>0.69589189189189227</v>
      </c>
      <c r="G56" s="97">
        <f t="shared" si="36"/>
        <v>0.87321740730517972</v>
      </c>
      <c r="H56" s="90">
        <v>0.73055618173850201</v>
      </c>
      <c r="I56" s="90">
        <f>H56</f>
        <v>0.73055618173850201</v>
      </c>
      <c r="J56" s="90">
        <f>I56</f>
        <v>0.73055618173850201</v>
      </c>
      <c r="K56" s="90">
        <f>J56</f>
        <v>0.73055618173850201</v>
      </c>
      <c r="L56" s="90">
        <f>K56</f>
        <v>0.73055618173850201</v>
      </c>
    </row>
    <row r="57" spans="2:12">
      <c r="B57" s="76" t="str">
        <f>B55</f>
        <v>Dividends</v>
      </c>
      <c r="C57" s="91">
        <f>C55</f>
        <v>544.9</v>
      </c>
      <c r="D57" s="91">
        <f t="shared" ref="D57:G57" si="37">D55</f>
        <v>498.6</v>
      </c>
      <c r="E57" s="91">
        <f t="shared" si="37"/>
        <v>625.9</v>
      </c>
      <c r="F57" s="91">
        <f t="shared" si="37"/>
        <v>643.70000000000005</v>
      </c>
      <c r="G57" s="91">
        <f t="shared" si="37"/>
        <v>949.09999999999991</v>
      </c>
      <c r="H57" s="91">
        <f>IF(H55,H55,H50*H56)</f>
        <v>782.34546622600737</v>
      </c>
      <c r="I57" s="91">
        <f>IF(I55,I55,I50*I56)</f>
        <v>991.42036907688589</v>
      </c>
      <c r="J57" s="91">
        <f>IF(J55,J55,J50*J56)</f>
        <v>946.43347555212245</v>
      </c>
      <c r="K57" s="91">
        <f>IF(K55,K55,K50*K56)</f>
        <v>1171.8976784517445</v>
      </c>
      <c r="L57" s="91">
        <f>IF(L55,L55,L50*L56)</f>
        <v>1144.9370672097762</v>
      </c>
    </row>
    <row r="58" spans="2:12" ht="16" thickBot="1">
      <c r="B58" s="81" t="s">
        <v>256</v>
      </c>
      <c r="C58" s="95">
        <f>C50-C57</f>
        <v>207.00000000000023</v>
      </c>
      <c r="D58" s="95">
        <f t="shared" ref="D58:L58" si="38">D50-D57</f>
        <v>292.29999999999961</v>
      </c>
      <c r="E58" s="95">
        <f t="shared" si="38"/>
        <v>233.20000000000027</v>
      </c>
      <c r="F58" s="95">
        <f t="shared" si="38"/>
        <v>281.2999999999995</v>
      </c>
      <c r="G58" s="95">
        <f t="shared" si="38"/>
        <v>137.80000000000018</v>
      </c>
      <c r="H58" s="95">
        <f t="shared" ca="1" si="38"/>
        <v>363.30693093503032</v>
      </c>
      <c r="I58" s="95">
        <f t="shared" ca="1" si="38"/>
        <v>232.97939020898343</v>
      </c>
      <c r="J58" s="95">
        <f t="shared" ca="1" si="38"/>
        <v>360.68668566268911</v>
      </c>
      <c r="K58" s="95">
        <f t="shared" ca="1" si="38"/>
        <v>219.95064176291658</v>
      </c>
      <c r="L58" s="95">
        <f t="shared" ca="1" si="38"/>
        <v>333.44725250420151</v>
      </c>
    </row>
    <row r="59" spans="2:12" ht="16" thickTop="1">
      <c r="K59" s="32"/>
      <c r="L59" s="32"/>
    </row>
    <row r="60" spans="2:12">
      <c r="K60" s="32"/>
      <c r="L60" s="32"/>
    </row>
    <row r="61" spans="2:12">
      <c r="K61" s="32"/>
      <c r="L61" s="32"/>
    </row>
    <row r="62" spans="2:12">
      <c r="H62" s="72" t="str">
        <f>H2</f>
        <v>Proj</v>
      </c>
      <c r="I62" s="72" t="str">
        <f>I2</f>
        <v>Proj</v>
      </c>
      <c r="J62" s="72" t="str">
        <f>J2</f>
        <v>Proj</v>
      </c>
      <c r="K62" s="72" t="str">
        <f>K2</f>
        <v>Proj</v>
      </c>
      <c r="L62" s="72" t="str">
        <f>L2</f>
        <v>Proj</v>
      </c>
    </row>
    <row r="63" spans="2:12" ht="16" thickBot="1">
      <c r="B63" s="35" t="s">
        <v>257</v>
      </c>
      <c r="C63" s="71">
        <v>43465</v>
      </c>
      <c r="D63" s="71">
        <v>43830</v>
      </c>
      <c r="E63" s="71">
        <v>44196</v>
      </c>
      <c r="F63" s="71">
        <v>44561</v>
      </c>
      <c r="G63" s="71">
        <v>44926</v>
      </c>
      <c r="H63" s="71">
        <v>45291</v>
      </c>
      <c r="I63" s="71">
        <v>45657</v>
      </c>
      <c r="J63" s="71">
        <v>46022</v>
      </c>
      <c r="K63" s="71">
        <v>46387</v>
      </c>
      <c r="L63" s="71">
        <v>46752</v>
      </c>
    </row>
    <row r="64" spans="2:12" ht="16" thickTop="1">
      <c r="B64" s="34" t="s">
        <v>23</v>
      </c>
      <c r="K64" s="32"/>
      <c r="L64" s="32"/>
    </row>
    <row r="65" spans="2:13">
      <c r="B65" s="32" t="s">
        <v>245</v>
      </c>
      <c r="H65" s="89">
        <f ca="1">H158</f>
        <v>118.30055686912874</v>
      </c>
      <c r="I65" s="89">
        <f t="shared" ref="I65:K65" ca="1" si="39">I158</f>
        <v>196.83734125247338</v>
      </c>
      <c r="J65" s="89">
        <f t="shared" ca="1" si="39"/>
        <v>368.39136868255355</v>
      </c>
      <c r="K65" s="89">
        <f t="shared" ca="1" si="39"/>
        <v>362.54652117262322</v>
      </c>
      <c r="L65" s="89">
        <f ca="1">L158</f>
        <v>431.45199987449087</v>
      </c>
    </row>
    <row r="66" spans="2:13">
      <c r="B66" s="74" t="s">
        <v>258</v>
      </c>
      <c r="H66" s="90">
        <v>4.8800000000000003E-2</v>
      </c>
      <c r="I66" s="90">
        <v>4.8800000000000003E-2</v>
      </c>
      <c r="J66" s="90">
        <v>4.8800000000000003E-2</v>
      </c>
      <c r="K66" s="90">
        <v>4.8800000000000003E-2</v>
      </c>
      <c r="L66" s="90">
        <v>4.8800000000000003E-2</v>
      </c>
    </row>
    <row r="67" spans="2:13">
      <c r="B67" s="32" t="s">
        <v>244</v>
      </c>
      <c r="H67" s="89">
        <f ca="1">H66*SUM(G65:H65)/2</f>
        <v>2.8865335876067415</v>
      </c>
      <c r="I67" s="89">
        <f ca="1">I66*SUM(H65:I65)/2</f>
        <v>7.689364714167092</v>
      </c>
      <c r="J67" s="89">
        <f ca="1">J66*SUM(I65:J65)/2</f>
        <v>13.791580522414657</v>
      </c>
      <c r="K67" s="89">
        <f ca="1">K66*SUM(J65:K65)/2</f>
        <v>17.834884512466314</v>
      </c>
      <c r="L67" s="89">
        <f ca="1">L66*SUM(K65:L65)/2</f>
        <v>19.373563913549585</v>
      </c>
    </row>
    <row r="68" spans="2:13">
      <c r="K68" s="32"/>
      <c r="L68" s="32"/>
      <c r="M68" s="82"/>
    </row>
    <row r="69" spans="2:13">
      <c r="B69" s="32" t="s">
        <v>287</v>
      </c>
      <c r="C69" s="93">
        <f>'Organized PL&amp;BS'!C35</f>
        <v>167.2</v>
      </c>
      <c r="D69" s="93">
        <f>'Organized PL&amp;BS'!D35</f>
        <v>174.9</v>
      </c>
      <c r="E69" s="93">
        <f>'Organized PL&amp;BS'!E35</f>
        <v>245.7</v>
      </c>
      <c r="F69" s="93">
        <f>'Organized PL&amp;BS'!F35</f>
        <v>236.2</v>
      </c>
      <c r="G69" s="93">
        <f>'Organized PL&amp;BS'!G35</f>
        <v>230.1</v>
      </c>
      <c r="H69" s="73"/>
      <c r="I69" s="73"/>
      <c r="J69" s="73"/>
      <c r="K69" s="73"/>
      <c r="L69" s="73"/>
    </row>
    <row r="70" spans="2:13">
      <c r="B70" s="74" t="s">
        <v>259</v>
      </c>
      <c r="C70" s="97">
        <f t="shared" ref="C70:G70" si="40">IFERROR(C69/C$7,"na")</f>
        <v>3.3675051861996735E-2</v>
      </c>
      <c r="D70" s="97">
        <f t="shared" si="40"/>
        <v>3.2791495584678552E-2</v>
      </c>
      <c r="E70" s="97">
        <f t="shared" si="40"/>
        <v>4.3507516866467158E-2</v>
      </c>
      <c r="F70" s="97">
        <f t="shared" si="40"/>
        <v>3.9295280240895708E-2</v>
      </c>
      <c r="G70" s="97">
        <f t="shared" si="40"/>
        <v>3.2962782568833622E-2</v>
      </c>
      <c r="H70" s="220">
        <v>3.6446425424574401E-2</v>
      </c>
      <c r="I70" s="90">
        <f>H70</f>
        <v>3.6446425424574401E-2</v>
      </c>
      <c r="J70" s="90">
        <f t="shared" ref="J70:L70" si="41">I70</f>
        <v>3.6446425424574401E-2</v>
      </c>
      <c r="K70" s="90">
        <f t="shared" si="41"/>
        <v>3.6446425424574401E-2</v>
      </c>
      <c r="L70" s="90">
        <f t="shared" si="41"/>
        <v>3.6446425424574401E-2</v>
      </c>
    </row>
    <row r="71" spans="2:13">
      <c r="B71" s="76" t="str">
        <f>B69</f>
        <v>Cash &amp; Short-term Investments</v>
      </c>
      <c r="C71" s="91">
        <f>C69</f>
        <v>167.2</v>
      </c>
      <c r="D71" s="91">
        <f t="shared" ref="D71:G71" si="42">D69</f>
        <v>174.9</v>
      </c>
      <c r="E71" s="91">
        <f t="shared" si="42"/>
        <v>245.7</v>
      </c>
      <c r="F71" s="91">
        <f t="shared" si="42"/>
        <v>236.2</v>
      </c>
      <c r="G71" s="91">
        <f t="shared" si="42"/>
        <v>230.1</v>
      </c>
      <c r="H71" s="91">
        <f>IF(H69,H69,H70*H$7)</f>
        <v>270.52257148506305</v>
      </c>
      <c r="I71" s="91">
        <f t="shared" ref="I71:L71" si="43">IF(I69,I69,I70*I$7)</f>
        <v>287.64665026006753</v>
      </c>
      <c r="J71" s="91">
        <f t="shared" si="43"/>
        <v>305.8546832215298</v>
      </c>
      <c r="K71" s="91">
        <f t="shared" si="43"/>
        <v>325.21528466945261</v>
      </c>
      <c r="L71" s="91">
        <f t="shared" si="43"/>
        <v>345.80141218902895</v>
      </c>
    </row>
    <row r="72" spans="2:13">
      <c r="B72" s="74" t="s">
        <v>258</v>
      </c>
      <c r="H72" s="90">
        <v>4.8800000000000003E-2</v>
      </c>
      <c r="I72" s="90">
        <v>4.8800000000000003E-2</v>
      </c>
      <c r="J72" s="90">
        <v>4.8800000000000003E-2</v>
      </c>
      <c r="K72" s="90">
        <v>4.8800000000000003E-2</v>
      </c>
      <c r="L72" s="90">
        <v>4.8800000000000003E-2</v>
      </c>
    </row>
    <row r="73" spans="2:13">
      <c r="B73" s="32" t="s">
        <v>244</v>
      </c>
      <c r="H73" s="89">
        <f>H72*AVERAGE(G71:H71)</f>
        <v>12.215190744235541</v>
      </c>
      <c r="I73" s="89">
        <f>I72*AVERAGE(H71:I71)</f>
        <v>13.619329010581188</v>
      </c>
      <c r="J73" s="89">
        <f>J72*AVERAGE(I71:J71)</f>
        <v>14.481432536950978</v>
      </c>
      <c r="K73" s="89">
        <f>K72*AVERAGE(J71:K71)</f>
        <v>15.398107216539971</v>
      </c>
      <c r="L73" s="89">
        <f>L72*AVERAGE(K71:L71)</f>
        <v>16.37280740334695</v>
      </c>
    </row>
    <row r="75" spans="2:13">
      <c r="B75" s="32" t="s">
        <v>261</v>
      </c>
      <c r="C75" s="93">
        <f>'Organized PL&amp;BS'!C36</f>
        <v>714.3</v>
      </c>
      <c r="D75" s="93">
        <f>'Organized PL&amp;BS'!D36</f>
        <v>741.8</v>
      </c>
      <c r="E75" s="93">
        <f>'Organized PL&amp;BS'!E36</f>
        <v>769.4</v>
      </c>
      <c r="F75" s="93">
        <f>'Organized PL&amp;BS'!F36</f>
        <v>900.2</v>
      </c>
      <c r="G75" s="93">
        <f>'Organized PL&amp;BS'!G36</f>
        <v>1013.2</v>
      </c>
      <c r="H75" s="73"/>
      <c r="I75" s="73"/>
      <c r="J75" s="73"/>
      <c r="K75" s="73"/>
      <c r="L75" s="73"/>
    </row>
    <row r="76" spans="2:13">
      <c r="B76" s="74" t="s">
        <v>259</v>
      </c>
      <c r="C76" s="97">
        <f t="shared" ref="C76:G76" si="44">IFERROR(C75/C$7,"na")</f>
        <v>0.14386417192000159</v>
      </c>
      <c r="D76" s="97">
        <f t="shared" si="44"/>
        <v>0.13907793839173557</v>
      </c>
      <c r="E76" s="97">
        <f t="shared" si="44"/>
        <v>0.13624209799373152</v>
      </c>
      <c r="F76" s="97">
        <f t="shared" si="44"/>
        <v>0.14976126703155934</v>
      </c>
      <c r="G76" s="97">
        <f t="shared" si="44"/>
        <v>0.14514511646563333</v>
      </c>
      <c r="H76" s="75"/>
      <c r="I76" s="75"/>
      <c r="J76" s="75"/>
      <c r="K76" s="75"/>
      <c r="L76" s="75"/>
    </row>
    <row r="77" spans="2:13">
      <c r="B77" s="79" t="s">
        <v>262</v>
      </c>
      <c r="C77" s="89">
        <f>IFERROR(C75/(C7/365),"NA")</f>
        <v>52.510422750800579</v>
      </c>
      <c r="D77" s="89">
        <f>IFERROR(D75/(D7/365),"NA")</f>
        <v>50.763447512983483</v>
      </c>
      <c r="E77" s="89">
        <f>IFERROR(E75/(E7/365),"NA")</f>
        <v>49.728365767711999</v>
      </c>
      <c r="F77" s="89">
        <f>IFERROR(F75/(F7/365),"NA")</f>
        <v>54.662862466519165</v>
      </c>
      <c r="G77" s="89">
        <f>IFERROR(G75/(G7/365),"NA")</f>
        <v>52.977967509956166</v>
      </c>
      <c r="H77" s="92">
        <v>52.128613201594298</v>
      </c>
      <c r="I77" s="92">
        <f>H77</f>
        <v>52.128613201594298</v>
      </c>
      <c r="J77" s="92">
        <f t="shared" ref="J77:L77" si="45">I77</f>
        <v>52.128613201594298</v>
      </c>
      <c r="K77" s="92">
        <f t="shared" si="45"/>
        <v>52.128613201594298</v>
      </c>
      <c r="L77" s="92">
        <f t="shared" si="45"/>
        <v>52.128613201594298</v>
      </c>
    </row>
    <row r="78" spans="2:13">
      <c r="B78" s="76" t="str">
        <f>B75</f>
        <v>Accounts receivable</v>
      </c>
      <c r="C78" s="91">
        <f>C75</f>
        <v>714.3</v>
      </c>
      <c r="D78" s="91">
        <f t="shared" ref="D78:G78" si="46">D75</f>
        <v>741.8</v>
      </c>
      <c r="E78" s="91">
        <f t="shared" si="46"/>
        <v>769.4</v>
      </c>
      <c r="F78" s="91">
        <f t="shared" si="46"/>
        <v>900.2</v>
      </c>
      <c r="G78" s="91">
        <f t="shared" si="46"/>
        <v>1013.2</v>
      </c>
      <c r="H78" s="91">
        <f>IF(H75,H75,IF(H76,H7*H76,(H7/365)*H77))</f>
        <v>1060.0634817673747</v>
      </c>
      <c r="I78" s="91">
        <f>IF(I75,I75,IF(I76,I7*I76,(I7/365)*I77))</f>
        <v>1127.1655001632494</v>
      </c>
      <c r="J78" s="91">
        <f>IF(J75,J75,IF(J76,J7*J76,(J7/365)*J77))</f>
        <v>1198.5150763235829</v>
      </c>
      <c r="K78" s="91">
        <f>IF(K75,K75,IF(K76,K7*K76,(K7/365)*K77))</f>
        <v>1274.3810806548656</v>
      </c>
      <c r="L78" s="91">
        <f>IF(L75,L75,IF(L76,L7*L76,(L7/365)*L77))</f>
        <v>1355.0494030603186</v>
      </c>
    </row>
    <row r="79" spans="2:13">
      <c r="K79" s="32"/>
      <c r="L79" s="32"/>
    </row>
    <row r="80" spans="2:13">
      <c r="B80" s="32" t="s">
        <v>28</v>
      </c>
      <c r="C80" s="93">
        <f>'Organized PL&amp;BS'!C38</f>
        <v>1278.7</v>
      </c>
      <c r="D80" s="93">
        <f>'Organized PL&amp;BS'!D38</f>
        <v>1366.4</v>
      </c>
      <c r="E80" s="93">
        <f>'Organized PL&amp;BS'!E38</f>
        <v>1337.5</v>
      </c>
      <c r="F80" s="93">
        <f>'Organized PL&amp;BS'!F38</f>
        <v>1523.6</v>
      </c>
      <c r="G80" s="93">
        <f>'Organized PL&amp;BS'!G38</f>
        <v>1708</v>
      </c>
      <c r="H80" s="73"/>
      <c r="I80" s="73"/>
      <c r="J80" s="73"/>
      <c r="K80" s="73"/>
      <c r="L80" s="73"/>
    </row>
    <row r="81" spans="2:12">
      <c r="B81" s="74" t="s">
        <v>259</v>
      </c>
      <c r="C81" s="97">
        <f t="shared" ref="C81:G81" si="47">IFERROR(C80/C$7,"na")</f>
        <v>0.25753761253549778</v>
      </c>
      <c r="D81" s="97">
        <f t="shared" si="47"/>
        <v>0.25618238746086208</v>
      </c>
      <c r="E81" s="97">
        <f t="shared" si="47"/>
        <v>0.23683884334106564</v>
      </c>
      <c r="F81" s="97">
        <f t="shared" si="47"/>
        <v>0.25347285764195043</v>
      </c>
      <c r="G81" s="97">
        <f t="shared" si="47"/>
        <v>0.24467810789903446</v>
      </c>
      <c r="H81" s="75"/>
      <c r="I81" s="75"/>
      <c r="J81" s="75"/>
      <c r="K81" s="75"/>
      <c r="L81" s="75"/>
    </row>
    <row r="82" spans="2:12">
      <c r="B82" s="79" t="s">
        <v>263</v>
      </c>
      <c r="C82" s="89">
        <f>IFERROR(C80/(C11/365),"NA")</f>
        <v>192.2263179571664</v>
      </c>
      <c r="D82" s="89">
        <f>IFERROR(D80/(D11/365),"NA")</f>
        <v>186.8204974528019</v>
      </c>
      <c r="E82" s="89">
        <f>IFERROR(E80/(E11/365),"NA")</f>
        <v>167.35370744917898</v>
      </c>
      <c r="F82" s="89">
        <f>IFERROR(F80/(F11/365),"NA")</f>
        <v>181.55860267711395</v>
      </c>
      <c r="G82" s="89">
        <f>IFERROR(G80/(G11/365),"NA")</f>
        <v>173.74170893484197</v>
      </c>
      <c r="H82" s="92">
        <v>180.340166894221</v>
      </c>
      <c r="I82" s="92">
        <f>H82</f>
        <v>180.340166894221</v>
      </c>
      <c r="J82" s="92">
        <f t="shared" ref="J82:L82" si="48">I82</f>
        <v>180.340166894221</v>
      </c>
      <c r="K82" s="92">
        <f t="shared" si="48"/>
        <v>180.340166894221</v>
      </c>
      <c r="L82" s="92">
        <f t="shared" si="48"/>
        <v>180.340166894221</v>
      </c>
    </row>
    <row r="83" spans="2:12">
      <c r="B83" s="76" t="str">
        <f>B80</f>
        <v>Inventory</v>
      </c>
      <c r="C83" s="91">
        <f>C80</f>
        <v>1278.7</v>
      </c>
      <c r="D83" s="91">
        <f t="shared" ref="D83:G83" si="49">D80</f>
        <v>1366.4</v>
      </c>
      <c r="E83" s="91">
        <f t="shared" si="49"/>
        <v>1337.5</v>
      </c>
      <c r="F83" s="91">
        <f t="shared" si="49"/>
        <v>1523.6</v>
      </c>
      <c r="G83" s="91">
        <f t="shared" si="49"/>
        <v>1708</v>
      </c>
      <c r="H83" s="91">
        <f>IF(H80,H80,IF(H81,H7*H81,(H11/365)*H82))</f>
        <v>1855.4231800699563</v>
      </c>
      <c r="I83" s="91">
        <f>IF(I80,I80,IF(I81,I7*I81,(I11/365)*I82))</f>
        <v>1972.8714673683844</v>
      </c>
      <c r="J83" s="91">
        <f>IF(J80,J80,IF(J81,J7*J81,(J11/365)*J82))</f>
        <v>2097.754231252803</v>
      </c>
      <c r="K83" s="91">
        <f>IF(K80,K80,IF(K81,K7*K81,(K11/365)*K82))</f>
        <v>2230.5420740911054</v>
      </c>
      <c r="L83" s="91">
        <f>IF(L80,L80,IF(L81,L7*L81,(L11/365)*L82))</f>
        <v>2371.7353873810721</v>
      </c>
    </row>
    <row r="84" spans="2:12">
      <c r="K84" s="32"/>
      <c r="L84" s="32"/>
    </row>
    <row r="85" spans="2:12">
      <c r="B85" s="32" t="s">
        <v>264</v>
      </c>
      <c r="C85" s="93">
        <f>'Organized PL&amp;BS'!C39</f>
        <v>156</v>
      </c>
      <c r="D85" s="93">
        <f>'Organized PL&amp;BS'!D39</f>
        <v>174.1</v>
      </c>
      <c r="E85" s="93">
        <f>'Organized PL&amp;BS'!E39</f>
        <v>147</v>
      </c>
      <c r="F85" s="93">
        <f>'Organized PL&amp;BS'!F39</f>
        <v>196.6</v>
      </c>
      <c r="G85" s="93">
        <f>'Organized PL&amp;BS'!G39</f>
        <v>173.5</v>
      </c>
      <c r="H85" s="73"/>
      <c r="I85" s="73"/>
      <c r="J85" s="73"/>
      <c r="K85" s="73"/>
      <c r="L85" s="73"/>
    </row>
    <row r="86" spans="2:12">
      <c r="B86" s="74" t="s">
        <v>259</v>
      </c>
      <c r="C86" s="97">
        <f t="shared" ref="C86:G86" si="50">IFERROR(C85/C$7,"na")</f>
        <v>3.1419306761193123E-2</v>
      </c>
      <c r="D86" s="97">
        <f t="shared" si="50"/>
        <v>3.2641505896469615E-2</v>
      </c>
      <c r="E86" s="97">
        <f t="shared" si="50"/>
        <v>2.6030138296176935E-2</v>
      </c>
      <c r="F86" s="97">
        <f t="shared" si="50"/>
        <v>3.2707248498560951E-2</v>
      </c>
      <c r="G86" s="97">
        <f t="shared" si="50"/>
        <v>2.4854597026043604E-2</v>
      </c>
      <c r="H86" s="90">
        <v>2.9530559295688801E-2</v>
      </c>
      <c r="I86" s="90">
        <f>H86</f>
        <v>2.9530559295688801E-2</v>
      </c>
      <c r="J86" s="90">
        <f>I86</f>
        <v>2.9530559295688801E-2</v>
      </c>
      <c r="K86" s="90">
        <f>J86</f>
        <v>2.9530559295688801E-2</v>
      </c>
      <c r="L86" s="90">
        <f>K86</f>
        <v>2.9530559295688801E-2</v>
      </c>
    </row>
    <row r="87" spans="2:12">
      <c r="B87" s="76" t="str">
        <f>B85</f>
        <v>Other current assets</v>
      </c>
      <c r="C87" s="91">
        <f>C85</f>
        <v>156</v>
      </c>
      <c r="D87" s="91">
        <f t="shared" ref="D87:G87" si="51">D85</f>
        <v>174.1</v>
      </c>
      <c r="E87" s="91">
        <f t="shared" si="51"/>
        <v>147</v>
      </c>
      <c r="F87" s="91">
        <f t="shared" si="51"/>
        <v>196.6</v>
      </c>
      <c r="G87" s="91">
        <f t="shared" si="51"/>
        <v>173.5</v>
      </c>
      <c r="H87" s="91">
        <f>IF(H85,H85,H86*H$7)</f>
        <v>219.18974892597865</v>
      </c>
      <c r="I87" s="91">
        <f t="shared" ref="I87:L87" si="52">IF(I85,I85,I86*I$7)</f>
        <v>233.06446003299305</v>
      </c>
      <c r="J87" s="91">
        <f t="shared" si="52"/>
        <v>247.81744035308151</v>
      </c>
      <c r="K87" s="91">
        <f t="shared" si="52"/>
        <v>263.50428432743155</v>
      </c>
      <c r="L87" s="91">
        <f t="shared" si="52"/>
        <v>280.18410552535795</v>
      </c>
    </row>
    <row r="88" spans="2:12">
      <c r="B88" s="77" t="s">
        <v>265</v>
      </c>
      <c r="C88" s="94">
        <f>C65+C71+C78+C83+C87</f>
        <v>2316.1999999999998</v>
      </c>
      <c r="D88" s="94">
        <f t="shared" ref="D88:G88" si="53">D65+D71+D78+D83+D87</f>
        <v>2457.1999999999998</v>
      </c>
      <c r="E88" s="94">
        <f t="shared" si="53"/>
        <v>2499.6</v>
      </c>
      <c r="F88" s="94">
        <f t="shared" si="53"/>
        <v>2856.6</v>
      </c>
      <c r="G88" s="94">
        <f t="shared" si="53"/>
        <v>3124.8</v>
      </c>
      <c r="H88" s="94">
        <f ca="1">H65+H71+H78+H83+H87</f>
        <v>3523.4995391175012</v>
      </c>
      <c r="I88" s="94">
        <f t="shared" ref="I88:L88" ca="1" si="54">I65+I71+I78+I83+I87</f>
        <v>3817.5854190771674</v>
      </c>
      <c r="J88" s="94">
        <f t="shared" ca="1" si="54"/>
        <v>4218.3327998335508</v>
      </c>
      <c r="K88" s="94">
        <f t="shared" ca="1" si="54"/>
        <v>4456.1892449154784</v>
      </c>
      <c r="L88" s="94">
        <f t="shared" ca="1" si="54"/>
        <v>4784.2223080302692</v>
      </c>
    </row>
    <row r="89" spans="2:12">
      <c r="B89" s="34"/>
      <c r="C89" s="34"/>
      <c r="D89" s="34"/>
      <c r="E89" s="34"/>
      <c r="F89" s="34"/>
      <c r="G89" s="34"/>
      <c r="H89" s="34"/>
      <c r="I89" s="34"/>
      <c r="J89" s="34"/>
      <c r="K89" s="34"/>
      <c r="L89" s="34"/>
    </row>
    <row r="90" spans="2:12">
      <c r="B90" s="32" t="s">
        <v>266</v>
      </c>
      <c r="C90" s="93">
        <f>'Organized PL&amp;BS'!C42</f>
        <v>1746.2</v>
      </c>
      <c r="D90" s="93">
        <f>'Organized PL&amp;BS'!D42</f>
        <v>2210.1</v>
      </c>
      <c r="E90" s="93">
        <f>'Organized PL&amp;BS'!E42</f>
        <v>2327.6</v>
      </c>
      <c r="F90" s="93">
        <f>'Organized PL&amp;BS'!F42</f>
        <v>2439.5</v>
      </c>
      <c r="G90" s="93">
        <f>'Organized PL&amp;BS'!G42</f>
        <v>2554.4</v>
      </c>
      <c r="H90" s="93">
        <f>G90+H93</f>
        <v>2698.84058594</v>
      </c>
      <c r="I90" s="93">
        <f t="shared" ref="I90:L90" si="55">H90+I93</f>
        <v>2876.1012043390037</v>
      </c>
      <c r="J90" s="93">
        <f t="shared" si="55"/>
        <v>3089.7581137669245</v>
      </c>
      <c r="K90" s="93">
        <f t="shared" si="55"/>
        <v>3343.708820868766</v>
      </c>
      <c r="L90" s="93">
        <f t="shared" si="55"/>
        <v>3642.1984206962288</v>
      </c>
    </row>
    <row r="91" spans="2:12">
      <c r="B91" s="32" t="s">
        <v>267</v>
      </c>
      <c r="C91" s="147" t="str">
        <f>IFERROR(C90-B90,"NA")</f>
        <v>NA</v>
      </c>
      <c r="D91" s="102">
        <f t="shared" ref="D91:G91" si="56">IFERROR(D90-C90,"NA")</f>
        <v>463.89999999999986</v>
      </c>
      <c r="E91" s="102">
        <f t="shared" si="56"/>
        <v>117.5</v>
      </c>
      <c r="F91" s="102">
        <f t="shared" si="56"/>
        <v>111.90000000000009</v>
      </c>
      <c r="G91" s="102">
        <f t="shared" si="56"/>
        <v>114.90000000000009</v>
      </c>
      <c r="H91" s="73"/>
      <c r="I91" s="73"/>
      <c r="J91" s="73"/>
      <c r="K91" s="73"/>
      <c r="L91" s="73"/>
    </row>
    <row r="92" spans="2:12">
      <c r="B92" s="74" t="s">
        <v>259</v>
      </c>
      <c r="C92" s="146" t="str">
        <f>IFERROR(C91/C$7,"NA")</f>
        <v>NA</v>
      </c>
      <c r="D92" s="97">
        <f t="shared" ref="D92:G92" si="57">IFERROR(D91/D$7,"na")</f>
        <v>8.697527045015653E-2</v>
      </c>
      <c r="E92" s="97">
        <f t="shared" si="57"/>
        <v>2.0806403059869319E-2</v>
      </c>
      <c r="F92" s="97">
        <f t="shared" si="57"/>
        <v>1.8616180605233842E-2</v>
      </c>
      <c r="G92" s="97">
        <f t="shared" si="57"/>
        <v>1.6459903160186817E-2</v>
      </c>
      <c r="H92" s="220">
        <v>1.9459903160186798E-2</v>
      </c>
      <c r="I92" s="90">
        <f>H92+0.003</f>
        <v>2.2459903160186798E-2</v>
      </c>
      <c r="J92" s="90">
        <f t="shared" ref="J92:L92" si="58">I92+0.003</f>
        <v>2.5459903160186797E-2</v>
      </c>
      <c r="K92" s="90">
        <f t="shared" si="58"/>
        <v>2.8459903160186796E-2</v>
      </c>
      <c r="L92" s="90">
        <f t="shared" si="58"/>
        <v>3.1459903160186799E-2</v>
      </c>
    </row>
    <row r="93" spans="2:12">
      <c r="B93" s="32" t="s">
        <v>267</v>
      </c>
      <c r="C93" s="84" t="str">
        <f>C91</f>
        <v>NA</v>
      </c>
      <c r="D93" s="103">
        <f t="shared" ref="D93:G93" si="59">D91</f>
        <v>463.89999999999986</v>
      </c>
      <c r="E93" s="103">
        <f t="shared" si="59"/>
        <v>117.5</v>
      </c>
      <c r="F93" s="103">
        <f t="shared" si="59"/>
        <v>111.90000000000009</v>
      </c>
      <c r="G93" s="103">
        <f t="shared" si="59"/>
        <v>114.90000000000009</v>
      </c>
      <c r="H93" s="89">
        <f>IF(H91,H91,H7*H92)</f>
        <v>144.44058593999995</v>
      </c>
      <c r="I93" s="89">
        <f>IF(I91,I91,I7*I92)</f>
        <v>177.26061839900393</v>
      </c>
      <c r="J93" s="89">
        <f>IF(J91,J91,J7*J92)</f>
        <v>213.65690942792065</v>
      </c>
      <c r="K93" s="89">
        <f>IF(K91,K91,K7*K92)</f>
        <v>253.95070710184149</v>
      </c>
      <c r="L93" s="89">
        <f>IF(L91,L91,L7*L92)</f>
        <v>298.48959982746305</v>
      </c>
    </row>
    <row r="94" spans="2:12">
      <c r="B94" s="32" t="s">
        <v>268</v>
      </c>
      <c r="C94" s="89">
        <f>-'[1]Organized PL+BS'!C39</f>
        <v>821.4</v>
      </c>
      <c r="D94" s="89">
        <f>-'[1]Organized PL+BS'!D39</f>
        <v>943.7</v>
      </c>
      <c r="E94" s="89">
        <f>-'[1]Organized PL+BS'!E39</f>
        <v>1053.9000000000001</v>
      </c>
      <c r="F94" s="89">
        <f>-'[1]Organized PL+BS'!F39</f>
        <v>1178</v>
      </c>
      <c r="G94" s="89">
        <f>-'[1]Organized PL+BS'!G39</f>
        <v>1301.4000000000001</v>
      </c>
      <c r="H94" s="89">
        <f>G94+H24</f>
        <v>1485.8754924323944</v>
      </c>
      <c r="I94" s="89">
        <f>H94+I24</f>
        <v>1680.7822987617919</v>
      </c>
      <c r="J94" s="89">
        <f>I94+J24</f>
        <v>1888.4906396464773</v>
      </c>
      <c r="K94" s="89">
        <f>J94+K24</f>
        <v>2111.629008552733</v>
      </c>
      <c r="L94" s="89">
        <f>K94+L24</f>
        <v>2353.1073718788784</v>
      </c>
    </row>
    <row r="95" spans="2:12">
      <c r="B95" s="76" t="s">
        <v>269</v>
      </c>
      <c r="C95" s="91">
        <f>C90-C94</f>
        <v>924.80000000000007</v>
      </c>
      <c r="D95" s="91">
        <f t="shared" ref="D95:G95" si="60">D90-D94</f>
        <v>1266.3999999999999</v>
      </c>
      <c r="E95" s="91">
        <f t="shared" si="60"/>
        <v>1273.6999999999998</v>
      </c>
      <c r="F95" s="91">
        <f t="shared" si="60"/>
        <v>1261.5</v>
      </c>
      <c r="G95" s="91">
        <f t="shared" si="60"/>
        <v>1253</v>
      </c>
      <c r="H95" s="91">
        <f>H90-H94</f>
        <v>1212.9650935076056</v>
      </c>
      <c r="I95" s="91">
        <f t="shared" ref="I95:L95" si="61">I90-I94</f>
        <v>1195.3189055772118</v>
      </c>
      <c r="J95" s="91">
        <f t="shared" si="61"/>
        <v>1201.2674741204471</v>
      </c>
      <c r="K95" s="91">
        <f t="shared" si="61"/>
        <v>1232.079812316033</v>
      </c>
      <c r="L95" s="91">
        <f t="shared" si="61"/>
        <v>1289.0910488173504</v>
      </c>
    </row>
    <row r="96" spans="2:12">
      <c r="K96" s="32"/>
      <c r="L96" s="32"/>
    </row>
    <row r="97" spans="2:12">
      <c r="B97" s="32" t="s">
        <v>270</v>
      </c>
      <c r="C97" s="93">
        <f>'Organized PL&amp;BS'!C49</f>
        <v>80.5</v>
      </c>
      <c r="D97" s="93">
        <f>'Organized PL&amp;BS'!D49</f>
        <v>76.3</v>
      </c>
      <c r="E97" s="93">
        <f>'Organized PL&amp;BS'!E49</f>
        <v>191.4</v>
      </c>
      <c r="F97" s="93">
        <f>'Organized PL&amp;BS'!F49</f>
        <v>180.9</v>
      </c>
      <c r="G97" s="93">
        <f>'Organized PL&amp;BS'!G49</f>
        <v>170.8</v>
      </c>
      <c r="H97" s="73"/>
      <c r="I97" s="73"/>
      <c r="J97" s="73"/>
      <c r="K97" s="73"/>
      <c r="L97" s="73"/>
    </row>
    <row r="98" spans="2:12">
      <c r="B98" s="74" t="s">
        <v>259</v>
      </c>
      <c r="C98" s="97">
        <f t="shared" ref="C98:G98" si="62">IFERROR(C97/C$7,"na")</f>
        <v>1.6213167912025941E-2</v>
      </c>
      <c r="D98" s="97">
        <f t="shared" si="62"/>
        <v>1.4305266512927236E-2</v>
      </c>
      <c r="E98" s="97">
        <f t="shared" si="62"/>
        <v>3.3892302516246704E-2</v>
      </c>
      <c r="F98" s="97">
        <f t="shared" si="62"/>
        <v>3.0095326822938331E-2</v>
      </c>
      <c r="G98" s="97">
        <f t="shared" si="62"/>
        <v>2.4467810789903448E-2</v>
      </c>
      <c r="H98" s="220">
        <v>2.9485146709696201E-2</v>
      </c>
      <c r="I98" s="90">
        <f>H98</f>
        <v>2.9485146709696201E-2</v>
      </c>
      <c r="J98" s="90">
        <f t="shared" ref="J98:L98" si="63">I98</f>
        <v>2.9485146709696201E-2</v>
      </c>
      <c r="K98" s="90">
        <f t="shared" si="63"/>
        <v>2.9485146709696201E-2</v>
      </c>
      <c r="L98" s="90">
        <f t="shared" si="63"/>
        <v>2.9485146709696201E-2</v>
      </c>
    </row>
    <row r="99" spans="2:12">
      <c r="B99" s="76" t="str">
        <f>B97</f>
        <v>Long-term assets</v>
      </c>
      <c r="C99" s="91">
        <f>C97</f>
        <v>80.5</v>
      </c>
      <c r="D99" s="91">
        <f t="shared" ref="D99:G99" si="64">D97</f>
        <v>76.3</v>
      </c>
      <c r="E99" s="91">
        <f t="shared" si="64"/>
        <v>191.4</v>
      </c>
      <c r="F99" s="91">
        <f t="shared" si="64"/>
        <v>180.9</v>
      </c>
      <c r="G99" s="91">
        <f t="shared" si="64"/>
        <v>170.8</v>
      </c>
      <c r="H99" s="91">
        <f>IF(H97,H97,IF(H98,H98*H$7,G99))</f>
        <v>218.85267527890923</v>
      </c>
      <c r="I99" s="91">
        <f t="shared" ref="I99:L99" si="65">IF(I97,I97,IF(I98,I98*I$7,H99))</f>
        <v>232.70604962406415</v>
      </c>
      <c r="J99" s="91">
        <f t="shared" si="65"/>
        <v>247.43634256526741</v>
      </c>
      <c r="K99" s="91">
        <f t="shared" si="65"/>
        <v>263.09906304964881</v>
      </c>
      <c r="L99" s="91">
        <f t="shared" si="65"/>
        <v>279.75323374069154</v>
      </c>
    </row>
    <row r="100" spans="2:12" ht="16" thickBot="1">
      <c r="B100" s="81" t="s">
        <v>271</v>
      </c>
      <c r="C100" s="95">
        <f>C88+C95+C99</f>
        <v>3321.5</v>
      </c>
      <c r="D100" s="95">
        <f t="shared" ref="D100:L100" si="66">D88+D95+D99</f>
        <v>3799.8999999999996</v>
      </c>
      <c r="E100" s="95">
        <f t="shared" si="66"/>
        <v>3964.7</v>
      </c>
      <c r="F100" s="95">
        <f t="shared" si="66"/>
        <v>4299</v>
      </c>
      <c r="G100" s="95">
        <f t="shared" si="66"/>
        <v>4548.6000000000004</v>
      </c>
      <c r="H100" s="95">
        <f t="shared" ca="1" si="66"/>
        <v>4955.3173079040162</v>
      </c>
      <c r="I100" s="95">
        <f t="shared" ca="1" si="66"/>
        <v>5245.6103742784426</v>
      </c>
      <c r="J100" s="95">
        <f t="shared" ca="1" si="66"/>
        <v>5667.0366165192654</v>
      </c>
      <c r="K100" s="95">
        <f t="shared" ca="1" si="66"/>
        <v>5951.3681202811604</v>
      </c>
      <c r="L100" s="95">
        <f t="shared" ca="1" si="66"/>
        <v>6353.0665905883116</v>
      </c>
    </row>
    <row r="101" spans="2:12" ht="16" thickTop="1">
      <c r="K101" s="32"/>
      <c r="L101" s="32"/>
    </row>
    <row r="102" spans="2:12">
      <c r="B102" s="34" t="s">
        <v>36</v>
      </c>
      <c r="K102" s="32"/>
      <c r="L102" s="32"/>
    </row>
    <row r="103" spans="2:12">
      <c r="B103" s="32" t="s">
        <v>272</v>
      </c>
      <c r="C103" s="93">
        <f>'Organized PL&amp;BS'!C53</f>
        <v>193.6</v>
      </c>
      <c r="D103" s="93">
        <f>'Organized PL&amp;BS'!D53</f>
        <v>192.8</v>
      </c>
      <c r="E103" s="93">
        <f>'Organized PL&amp;BS'!E53</f>
        <v>207</v>
      </c>
      <c r="F103" s="93">
        <f>'Organized PL&amp;BS'!F53</f>
        <v>233.1</v>
      </c>
      <c r="G103" s="93">
        <f>'Organized PL&amp;BS'!G53</f>
        <v>255</v>
      </c>
      <c r="H103" s="73"/>
      <c r="I103" s="73"/>
      <c r="J103" s="73"/>
      <c r="K103" s="73"/>
      <c r="L103" s="73"/>
    </row>
    <row r="104" spans="2:12">
      <c r="B104" s="74" t="s">
        <v>259</v>
      </c>
      <c r="C104" s="97">
        <f t="shared" ref="C104:G104" si="67">IFERROR(C103/C$7,"na")</f>
        <v>3.8992165313890957E-2</v>
      </c>
      <c r="D104" s="97">
        <f t="shared" si="67"/>
        <v>3.6147514858353491E-2</v>
      </c>
      <c r="E104" s="97">
        <f t="shared" si="67"/>
        <v>3.6654684539514454E-2</v>
      </c>
      <c r="F104" s="97">
        <f t="shared" si="67"/>
        <v>3.8779550483288697E-2</v>
      </c>
      <c r="G104" s="97">
        <f t="shared" si="67"/>
        <v>3.6529811191015095E-2</v>
      </c>
      <c r="H104" s="75"/>
      <c r="I104" s="75"/>
      <c r="J104" s="75"/>
      <c r="K104" s="75"/>
      <c r="L104" s="75"/>
    </row>
    <row r="105" spans="2:12">
      <c r="B105" s="79" t="s">
        <v>273</v>
      </c>
      <c r="C105" s="89">
        <f>IFERROR(C103/C$11*365,"na")</f>
        <v>29.103789126853378</v>
      </c>
      <c r="D105" s="89">
        <f t="shared" ref="D105:G105" si="68">IFERROR(D103/D$11*365,"na")</f>
        <v>26.360503446209165</v>
      </c>
      <c r="E105" s="89">
        <f t="shared" si="68"/>
        <v>25.900723321106579</v>
      </c>
      <c r="F105" s="89">
        <f t="shared" si="68"/>
        <v>27.777179236043093</v>
      </c>
      <c r="G105" s="89">
        <f t="shared" si="68"/>
        <v>25.939189565799005</v>
      </c>
      <c r="H105" s="93">
        <v>27.0162769392022</v>
      </c>
      <c r="I105" s="93">
        <f>H105</f>
        <v>27.0162769392022</v>
      </c>
      <c r="J105" s="93">
        <f t="shared" ref="J105:L105" si="69">I105</f>
        <v>27.0162769392022</v>
      </c>
      <c r="K105" s="93">
        <f t="shared" si="69"/>
        <v>27.0162769392022</v>
      </c>
      <c r="L105" s="93">
        <f t="shared" si="69"/>
        <v>27.0162769392022</v>
      </c>
    </row>
    <row r="106" spans="2:12">
      <c r="B106" s="76" t="str">
        <f>B103</f>
        <v>Accounts payable</v>
      </c>
      <c r="C106" s="91">
        <f>C103</f>
        <v>193.6</v>
      </c>
      <c r="D106" s="91">
        <f t="shared" ref="D106:G106" si="70">D103</f>
        <v>192.8</v>
      </c>
      <c r="E106" s="91">
        <f t="shared" si="70"/>
        <v>207</v>
      </c>
      <c r="F106" s="91">
        <f t="shared" si="70"/>
        <v>233.1</v>
      </c>
      <c r="G106" s="91">
        <f t="shared" si="70"/>
        <v>255</v>
      </c>
      <c r="H106" s="91">
        <f>IF(H103,H103,IF(H104,H104*H$7,H105/365*H$11))</f>
        <v>277.95597251269641</v>
      </c>
      <c r="I106" s="91">
        <f t="shared" ref="I106:L106" si="71">IF(I103,I103,IF(I104,I104*I$7,I105/365*I$11))</f>
        <v>295.55058557275009</v>
      </c>
      <c r="J106" s="91">
        <f t="shared" si="71"/>
        <v>314.25893763950512</v>
      </c>
      <c r="K106" s="91">
        <f t="shared" si="71"/>
        <v>334.15152839208577</v>
      </c>
      <c r="L106" s="91">
        <f t="shared" si="71"/>
        <v>355.30332013930479</v>
      </c>
    </row>
    <row r="107" spans="2:12">
      <c r="K107" s="32"/>
      <c r="L107" s="32"/>
    </row>
    <row r="108" spans="2:12">
      <c r="B108" s="36" t="s">
        <v>38</v>
      </c>
      <c r="C108" s="93">
        <f>'Organized PL&amp;BS'!C54</f>
        <v>240.8</v>
      </c>
      <c r="D108" s="93">
        <f>'Organized PL&amp;BS'!D54</f>
        <v>251.5</v>
      </c>
      <c r="E108" s="93">
        <f>'Organized PL&amp;BS'!E54</f>
        <v>272.10000000000002</v>
      </c>
      <c r="F108" s="93">
        <f>'Organized PL&amp;BS'!F54</f>
        <v>298.3</v>
      </c>
      <c r="G108" s="93">
        <f>'Organized PL&amp;BS'!G54</f>
        <v>241.1</v>
      </c>
      <c r="H108" s="73"/>
      <c r="I108" s="73"/>
      <c r="J108" s="73"/>
      <c r="K108" s="73"/>
      <c r="L108" s="73"/>
    </row>
    <row r="109" spans="2:12">
      <c r="B109" s="74" t="s">
        <v>259</v>
      </c>
      <c r="C109" s="97">
        <f t="shared" ref="C109:G109" si="72">IFERROR(C108/C$7,"na")</f>
        <v>4.8498519667277598E-2</v>
      </c>
      <c r="D109" s="97">
        <f t="shared" si="72"/>
        <v>4.7153008230684142E-2</v>
      </c>
      <c r="E109" s="97">
        <f t="shared" si="72"/>
        <v>4.8182317213535678E-2</v>
      </c>
      <c r="F109" s="97">
        <f t="shared" si="72"/>
        <v>4.9626511836829763E-2</v>
      </c>
      <c r="G109" s="97">
        <f t="shared" si="72"/>
        <v>3.453857834570094E-2</v>
      </c>
      <c r="H109" s="220">
        <v>4.5599787058805602E-2</v>
      </c>
      <c r="I109" s="90">
        <f>H109</f>
        <v>4.5599787058805602E-2</v>
      </c>
      <c r="J109" s="90">
        <f t="shared" ref="J109:L109" si="73">I109</f>
        <v>4.5599787058805602E-2</v>
      </c>
      <c r="K109" s="90">
        <f t="shared" si="73"/>
        <v>4.5599787058805602E-2</v>
      </c>
      <c r="L109" s="90">
        <f t="shared" si="73"/>
        <v>4.5599787058805602E-2</v>
      </c>
    </row>
    <row r="110" spans="2:12">
      <c r="B110" s="76" t="str">
        <f>B108</f>
        <v>Accrued Exp.</v>
      </c>
      <c r="C110" s="91">
        <f>C108</f>
        <v>240.8</v>
      </c>
      <c r="D110" s="91">
        <f t="shared" ref="D110:G110" si="74">D108</f>
        <v>251.5</v>
      </c>
      <c r="E110" s="91">
        <f t="shared" si="74"/>
        <v>272.10000000000002</v>
      </c>
      <c r="F110" s="91">
        <f t="shared" si="74"/>
        <v>298.3</v>
      </c>
      <c r="G110" s="91">
        <f t="shared" si="74"/>
        <v>241.1</v>
      </c>
      <c r="H110" s="91">
        <f>IF(H108,H108,H109*H$7)</f>
        <v>338.46314173795116</v>
      </c>
      <c r="I110" s="91">
        <f t="shared" ref="I110:K110" si="75">IF(I108,I108,I109*I$7)</f>
        <v>359.88785860996342</v>
      </c>
      <c r="J110" s="91">
        <f t="shared" si="75"/>
        <v>382.66876005997409</v>
      </c>
      <c r="K110" s="91">
        <f t="shared" si="75"/>
        <v>406.89169257177042</v>
      </c>
      <c r="L110" s="91">
        <f>IF(L108,L108,L109*L$7)</f>
        <v>432.64793671156349</v>
      </c>
    </row>
    <row r="111" spans="2:12">
      <c r="K111" s="32"/>
      <c r="L111" s="32"/>
    </row>
    <row r="112" spans="2:12">
      <c r="B112" s="36" t="s">
        <v>39</v>
      </c>
      <c r="C112" s="93">
        <f>'Organized PL&amp;BS'!C56</f>
        <v>3</v>
      </c>
      <c r="D112" s="93">
        <f>'Organized PL&amp;BS'!D56</f>
        <v>100.4</v>
      </c>
      <c r="E112" s="93">
        <f>'Organized PL&amp;BS'!E56</f>
        <v>133.6</v>
      </c>
      <c r="F112" s="93">
        <f>'Organized PL&amp;BS'!F56</f>
        <v>150.80000000000001</v>
      </c>
      <c r="G112" s="93">
        <f>'Organized PL&amp;BS'!G56</f>
        <v>293.70000000000005</v>
      </c>
      <c r="H112" s="73"/>
      <c r="I112" s="73"/>
      <c r="J112" s="73"/>
      <c r="K112" s="73"/>
      <c r="L112" s="73"/>
    </row>
    <row r="113" spans="2:12">
      <c r="B113" s="74" t="s">
        <v>259</v>
      </c>
      <c r="C113" s="97">
        <f t="shared" ref="C113:G113" si="76">IFERROR(C112/C$7,"na")</f>
        <v>6.0421743771525238E-4</v>
      </c>
      <c r="D113" s="97">
        <f t="shared" si="76"/>
        <v>1.8823705870221422E-2</v>
      </c>
      <c r="E113" s="97">
        <f t="shared" si="76"/>
        <v>2.3657322968498217E-2</v>
      </c>
      <c r="F113" s="97">
        <f t="shared" si="76"/>
        <v>2.5087757241012164E-2</v>
      </c>
      <c r="G113" s="97">
        <f t="shared" si="76"/>
        <v>4.2073747242357393E-2</v>
      </c>
      <c r="H113" s="220">
        <v>2.2049350151960901E-2</v>
      </c>
      <c r="I113" s="90">
        <f>H113</f>
        <v>2.2049350151960901E-2</v>
      </c>
      <c r="J113" s="90">
        <f t="shared" ref="J113:L113" si="77">I113</f>
        <v>2.2049350151960901E-2</v>
      </c>
      <c r="K113" s="90">
        <f t="shared" si="77"/>
        <v>2.2049350151960901E-2</v>
      </c>
      <c r="L113" s="90">
        <f t="shared" si="77"/>
        <v>2.2049350151960901E-2</v>
      </c>
    </row>
    <row r="114" spans="2:12">
      <c r="B114" s="76" t="str">
        <f>B112</f>
        <v>Curr. Port. of LT Debt</v>
      </c>
      <c r="C114" s="91">
        <f>C112</f>
        <v>3</v>
      </c>
      <c r="D114" s="91">
        <f t="shared" ref="D114:G114" si="78">D112</f>
        <v>100.4</v>
      </c>
      <c r="E114" s="91">
        <f t="shared" si="78"/>
        <v>133.6</v>
      </c>
      <c r="F114" s="91">
        <f t="shared" si="78"/>
        <v>150.80000000000001</v>
      </c>
      <c r="G114" s="91">
        <f t="shared" si="78"/>
        <v>293.70000000000005</v>
      </c>
      <c r="H114" s="91">
        <f>IF(H112,H112,H113*H$7)</f>
        <v>163.6606836801385</v>
      </c>
      <c r="I114" s="91">
        <f t="shared" ref="I114:L114" si="79">IF(I112,I112,I113*I$7)</f>
        <v>174.02040495709127</v>
      </c>
      <c r="J114" s="91">
        <f t="shared" si="79"/>
        <v>185.03589659087513</v>
      </c>
      <c r="K114" s="91">
        <f t="shared" si="79"/>
        <v>196.7486688450775</v>
      </c>
      <c r="L114" s="91">
        <f t="shared" si="79"/>
        <v>209.20285958297092</v>
      </c>
    </row>
    <row r="115" spans="2:12">
      <c r="B115" s="76" t="s">
        <v>274</v>
      </c>
      <c r="C115" s="91">
        <f>C106+C110+C114</f>
        <v>437.4</v>
      </c>
      <c r="D115" s="91">
        <f t="shared" ref="D115:L115" si="80">D106+D110+D114</f>
        <v>544.70000000000005</v>
      </c>
      <c r="E115" s="91">
        <f t="shared" si="80"/>
        <v>612.70000000000005</v>
      </c>
      <c r="F115" s="91">
        <f t="shared" si="80"/>
        <v>682.2</v>
      </c>
      <c r="G115" s="91">
        <f t="shared" si="80"/>
        <v>789.80000000000007</v>
      </c>
      <c r="H115" s="91">
        <f t="shared" si="80"/>
        <v>780.07979793078607</v>
      </c>
      <c r="I115" s="91">
        <f t="shared" si="80"/>
        <v>829.45884913980478</v>
      </c>
      <c r="J115" s="91">
        <f t="shared" si="80"/>
        <v>881.96359429035442</v>
      </c>
      <c r="K115" s="91">
        <f t="shared" si="80"/>
        <v>937.79188980893366</v>
      </c>
      <c r="L115" s="91">
        <f t="shared" si="80"/>
        <v>997.15411643383914</v>
      </c>
    </row>
    <row r="116" spans="2:12">
      <c r="K116" s="32"/>
      <c r="L116" s="32"/>
    </row>
    <row r="117" spans="2:12">
      <c r="B117" s="32" t="s">
        <v>275</v>
      </c>
      <c r="H117" s="32">
        <f ca="1">H159</f>
        <v>0</v>
      </c>
      <c r="I117" s="32">
        <f t="shared" ref="I117:L117" ca="1" si="81">I159</f>
        <v>0</v>
      </c>
      <c r="J117" s="32">
        <f t="shared" ca="1" si="81"/>
        <v>0</v>
      </c>
      <c r="K117" s="32">
        <f t="shared" ca="1" si="81"/>
        <v>0</v>
      </c>
      <c r="L117" s="32">
        <f t="shared" ca="1" si="81"/>
        <v>0</v>
      </c>
    </row>
    <row r="118" spans="2:12">
      <c r="B118" s="74" t="s">
        <v>258</v>
      </c>
      <c r="H118" s="90">
        <v>4.8800000000000003E-2</v>
      </c>
      <c r="I118" s="90">
        <v>4.8800000000000003E-2</v>
      </c>
      <c r="J118" s="90">
        <v>4.8800000000000003E-2</v>
      </c>
      <c r="K118" s="90">
        <v>4.8800000000000003E-2</v>
      </c>
      <c r="L118" s="90">
        <v>4.8800000000000003E-2</v>
      </c>
    </row>
    <row r="119" spans="2:12">
      <c r="B119" s="32" t="s">
        <v>246</v>
      </c>
      <c r="H119" s="32">
        <f ca="1">H118*SUM(G117:H117)/2</f>
        <v>0</v>
      </c>
      <c r="I119" s="32">
        <f ca="1">I118*SUM(H117:I117)/2</f>
        <v>0</v>
      </c>
      <c r="J119" s="32">
        <f ca="1">J118*SUM(I117:J117)/2</f>
        <v>0</v>
      </c>
      <c r="K119" s="32">
        <f ca="1">K118*SUM(J117:K117)/2</f>
        <v>0</v>
      </c>
      <c r="L119" s="32">
        <f ca="1">L118*SUM(K117:L117)/2</f>
        <v>0</v>
      </c>
    </row>
    <row r="120" spans="2:12">
      <c r="K120" s="32"/>
      <c r="L120" s="32"/>
    </row>
    <row r="121" spans="2:12">
      <c r="B121" s="32" t="s">
        <v>248</v>
      </c>
      <c r="C121" s="93">
        <f>'Organized PL&amp;BS'!C60</f>
        <v>497</v>
      </c>
      <c r="D121" s="93">
        <f>'Organized PL&amp;BS'!D60</f>
        <v>490.2</v>
      </c>
      <c r="E121" s="93">
        <f>'Organized PL&amp;BS'!E60</f>
        <v>516.5</v>
      </c>
      <c r="F121" s="93">
        <f>'Organized PL&amp;BS'!F60</f>
        <v>486</v>
      </c>
      <c r="G121" s="93">
        <f>'Organized PL&amp;BS'!G60</f>
        <v>508.4</v>
      </c>
      <c r="H121" s="73"/>
      <c r="I121" s="73"/>
      <c r="J121" s="73"/>
      <c r="K121" s="73"/>
      <c r="L121" s="73"/>
    </row>
    <row r="122" spans="2:12">
      <c r="B122" s="83" t="s">
        <v>260</v>
      </c>
      <c r="C122" s="138" t="str">
        <f t="shared" ref="C122:G122" si="82">IFERROR(C121/B121-1,"na")</f>
        <v>na</v>
      </c>
      <c r="D122" s="97">
        <f t="shared" si="82"/>
        <v>-1.3682092555332037E-2</v>
      </c>
      <c r="E122" s="97">
        <f t="shared" si="82"/>
        <v>5.3651570787433656E-2</v>
      </c>
      <c r="F122" s="97">
        <f t="shared" si="82"/>
        <v>-5.9051306873184939E-2</v>
      </c>
      <c r="G122" s="97">
        <f t="shared" si="82"/>
        <v>4.6090534979423836E-2</v>
      </c>
      <c r="H122" s="90">
        <v>6.7521765845851298E-3</v>
      </c>
      <c r="I122" s="90">
        <f>H122</f>
        <v>6.7521765845851298E-3</v>
      </c>
      <c r="J122" s="90">
        <f t="shared" ref="J122:L122" si="83">I122</f>
        <v>6.7521765845851298E-3</v>
      </c>
      <c r="K122" s="90">
        <f t="shared" si="83"/>
        <v>6.7521765845851298E-3</v>
      </c>
      <c r="L122" s="90">
        <f t="shared" si="83"/>
        <v>6.7521765845851298E-3</v>
      </c>
    </row>
    <row r="123" spans="2:12">
      <c r="B123" s="76" t="str">
        <f t="shared" ref="B123:G123" si="84">B121</f>
        <v>Long term debt</v>
      </c>
      <c r="C123" s="91">
        <f t="shared" si="84"/>
        <v>497</v>
      </c>
      <c r="D123" s="91">
        <f t="shared" si="84"/>
        <v>490.2</v>
      </c>
      <c r="E123" s="91">
        <f t="shared" si="84"/>
        <v>516.5</v>
      </c>
      <c r="F123" s="91">
        <f t="shared" si="84"/>
        <v>486</v>
      </c>
      <c r="G123" s="91">
        <f t="shared" si="84"/>
        <v>508.4</v>
      </c>
      <c r="H123" s="91">
        <f>IF(H121,H121,IF(G123,G123*(1+H122),G123))</f>
        <v>511.832806575603</v>
      </c>
      <c r="I123" s="91">
        <f t="shared" ref="I123:L123" si="85">IF(I121,I121,IF(H123,H123*(1+I122),H123))</f>
        <v>515.2887920673852</v>
      </c>
      <c r="J123" s="91">
        <f t="shared" si="85"/>
        <v>518.76811298348173</v>
      </c>
      <c r="K123" s="91">
        <f t="shared" si="85"/>
        <v>522.27092688879816</v>
      </c>
      <c r="L123" s="91">
        <f t="shared" si="85"/>
        <v>525.79739241214622</v>
      </c>
    </row>
    <row r="124" spans="2:12">
      <c r="B124" s="74" t="s">
        <v>258</v>
      </c>
      <c r="H124" s="90">
        <v>3.8699999999999998E-2</v>
      </c>
      <c r="I124" s="90">
        <v>3.8699999999999998E-2</v>
      </c>
      <c r="J124" s="90">
        <v>3.8699999999999998E-2</v>
      </c>
      <c r="K124" s="90">
        <v>3.8699999999999998E-2</v>
      </c>
      <c r="L124" s="90">
        <v>3.8699999999999998E-2</v>
      </c>
    </row>
    <row r="125" spans="2:12">
      <c r="B125" s="32" t="s">
        <v>246</v>
      </c>
      <c r="H125" s="89">
        <f>H124*AVERAGE(G123:H123)</f>
        <v>19.741504807237916</v>
      </c>
      <c r="I125" s="89">
        <f>I124*AVERAGE(H123:I123)</f>
        <v>19.874802933741819</v>
      </c>
      <c r="J125" s="89">
        <f>J124*AVERAGE(I123:J123)</f>
        <v>20.009001112734275</v>
      </c>
      <c r="K125" s="89">
        <f>K124*AVERAGE(J123:K123)</f>
        <v>20.144105421528614</v>
      </c>
      <c r="L125" s="89">
        <f>L124*AVERAGE(K123:L123)</f>
        <v>20.280121978473275</v>
      </c>
    </row>
    <row r="126" spans="2:12">
      <c r="H126" s="89"/>
      <c r="I126" s="89"/>
      <c r="J126" s="89"/>
      <c r="K126" s="89"/>
      <c r="L126" s="89"/>
    </row>
    <row r="127" spans="2:12">
      <c r="B127" s="36" t="s">
        <v>46</v>
      </c>
      <c r="C127" s="93">
        <f>'Organized PL&amp;BS'!C62</f>
        <v>84.4</v>
      </c>
      <c r="D127" s="93">
        <f>'Organized PL&amp;BS'!D62</f>
        <v>99.4</v>
      </c>
      <c r="E127" s="93">
        <f>'Organized PL&amp;BS'!E62</f>
        <v>102.3</v>
      </c>
      <c r="F127" s="93">
        <f>'Organized PL&amp;BS'!F62</f>
        <v>88.6</v>
      </c>
      <c r="G127" s="93">
        <f>'Organized PL&amp;BS'!G62</f>
        <v>83.7</v>
      </c>
      <c r="H127" s="73"/>
      <c r="I127" s="73"/>
      <c r="J127" s="73"/>
      <c r="K127" s="73"/>
      <c r="L127" s="73"/>
    </row>
    <row r="128" spans="2:12">
      <c r="B128" s="74" t="s">
        <v>259</v>
      </c>
      <c r="C128" s="97">
        <f t="shared" ref="C128:G128" si="86">IFERROR(C127/C$7,"na")</f>
        <v>1.699865058105577E-2</v>
      </c>
      <c r="D128" s="97">
        <f t="shared" si="86"/>
        <v>1.8636218759960254E-2</v>
      </c>
      <c r="E128" s="97">
        <f t="shared" si="86"/>
        <v>1.8114851344890479E-2</v>
      </c>
      <c r="F128" s="97">
        <f t="shared" si="86"/>
        <v>1.4739889201284334E-2</v>
      </c>
      <c r="G128" s="97">
        <f t="shared" si="86"/>
        <v>1.1990373320344956E-2</v>
      </c>
      <c r="H128" s="220">
        <v>1.6095996641507199E-2</v>
      </c>
      <c r="I128" s="90">
        <f>H128</f>
        <v>1.6095996641507199E-2</v>
      </c>
      <c r="J128" s="90">
        <f>I128</f>
        <v>1.6095996641507199E-2</v>
      </c>
      <c r="K128" s="90">
        <f>J128</f>
        <v>1.6095996641507199E-2</v>
      </c>
      <c r="L128" s="90">
        <f>K128</f>
        <v>1.6095996641507199E-2</v>
      </c>
    </row>
    <row r="129" spans="2:12">
      <c r="B129" s="76" t="str">
        <f>B127</f>
        <v>Def. Tax Liability, Non-Curr.</v>
      </c>
      <c r="C129" s="91">
        <f>C127</f>
        <v>84.4</v>
      </c>
      <c r="D129" s="91">
        <f t="shared" ref="D129:G129" si="87">D127</f>
        <v>99.4</v>
      </c>
      <c r="E129" s="91">
        <f t="shared" si="87"/>
        <v>102.3</v>
      </c>
      <c r="F129" s="91">
        <f t="shared" si="87"/>
        <v>88.6</v>
      </c>
      <c r="G129" s="91">
        <f t="shared" si="87"/>
        <v>83.7</v>
      </c>
      <c r="H129" s="91">
        <f>IF(H127,H127,IF(H128,H128*H$7,G129))</f>
        <v>119.47208406176128</v>
      </c>
      <c r="I129" s="91">
        <f t="shared" ref="I129:L129" si="88">IF(I127,I127,IF(I128,I128*I$7,H129))</f>
        <v>127.03466698287076</v>
      </c>
      <c r="J129" s="91">
        <f t="shared" si="88"/>
        <v>135.07596140288646</v>
      </c>
      <c r="K129" s="91">
        <f t="shared" si="88"/>
        <v>143.62626975968917</v>
      </c>
      <c r="L129" s="91">
        <f t="shared" si="88"/>
        <v>152.71781263547749</v>
      </c>
    </row>
    <row r="130" spans="2:12">
      <c r="K130" s="32"/>
      <c r="L130" s="32"/>
    </row>
    <row r="131" spans="2:12">
      <c r="B131" s="32" t="s">
        <v>276</v>
      </c>
      <c r="C131" s="96">
        <v>0</v>
      </c>
      <c r="D131" s="96">
        <v>0</v>
      </c>
      <c r="E131" s="96">
        <v>0</v>
      </c>
      <c r="F131" s="96">
        <v>0</v>
      </c>
      <c r="G131" s="96">
        <v>3.5</v>
      </c>
      <c r="H131" s="73"/>
      <c r="I131" s="73"/>
      <c r="J131" s="73"/>
      <c r="K131" s="73"/>
      <c r="L131" s="73"/>
    </row>
    <row r="132" spans="2:12">
      <c r="B132" s="74" t="s">
        <v>259</v>
      </c>
      <c r="C132" s="97">
        <f t="shared" ref="C132:G132" si="89">IFERROR(C131/C$7,"na")</f>
        <v>0</v>
      </c>
      <c r="D132" s="97">
        <f t="shared" si="89"/>
        <v>0</v>
      </c>
      <c r="E132" s="97">
        <f t="shared" si="89"/>
        <v>0</v>
      </c>
      <c r="F132" s="97">
        <f t="shared" si="89"/>
        <v>0</v>
      </c>
      <c r="G132" s="97">
        <f t="shared" si="89"/>
        <v>5.0138956536687385E-4</v>
      </c>
      <c r="H132" s="75">
        <v>0</v>
      </c>
      <c r="I132" s="75">
        <f>H132</f>
        <v>0</v>
      </c>
      <c r="J132" s="75">
        <f>I132</f>
        <v>0</v>
      </c>
      <c r="K132" s="75">
        <f>J132</f>
        <v>0</v>
      </c>
      <c r="L132" s="75">
        <f>K132</f>
        <v>0</v>
      </c>
    </row>
    <row r="133" spans="2:12">
      <c r="B133" s="76" t="str">
        <f>B131</f>
        <v>Other long term liabilities</v>
      </c>
      <c r="C133" s="98">
        <f>C131</f>
        <v>0</v>
      </c>
      <c r="D133" s="98">
        <f t="shared" ref="D133:G133" si="90">D131</f>
        <v>0</v>
      </c>
      <c r="E133" s="98">
        <f t="shared" si="90"/>
        <v>0</v>
      </c>
      <c r="F133" s="98">
        <f t="shared" si="90"/>
        <v>0</v>
      </c>
      <c r="G133" s="91">
        <f t="shared" si="90"/>
        <v>3.5</v>
      </c>
      <c r="H133" s="91">
        <f>IF(H131,H131,IF(H132,H132*H$7,G133))</f>
        <v>3.5</v>
      </c>
      <c r="I133" s="91">
        <f t="shared" ref="I133:L133" si="91">IF(I131,I131,IF(I132,I132*I$7,H133))</f>
        <v>3.5</v>
      </c>
      <c r="J133" s="91">
        <f t="shared" si="91"/>
        <v>3.5</v>
      </c>
      <c r="K133" s="91">
        <f t="shared" si="91"/>
        <v>3.5</v>
      </c>
      <c r="L133" s="91">
        <f t="shared" si="91"/>
        <v>3.5</v>
      </c>
    </row>
    <row r="134" spans="2:12">
      <c r="B134" s="77" t="s">
        <v>277</v>
      </c>
      <c r="C134" s="99">
        <f>C115+C117+C123+C129+C133</f>
        <v>1018.8</v>
      </c>
      <c r="D134" s="99">
        <f t="shared" ref="D134:K134" si="92">D115+D117+D123+D129+D133</f>
        <v>1134.3000000000002</v>
      </c>
      <c r="E134" s="99">
        <f t="shared" si="92"/>
        <v>1231.5</v>
      </c>
      <c r="F134" s="99">
        <f t="shared" si="92"/>
        <v>1256.8</v>
      </c>
      <c r="G134" s="99">
        <f t="shared" si="92"/>
        <v>1385.4</v>
      </c>
      <c r="H134" s="99">
        <f t="shared" ca="1" si="92"/>
        <v>1414.8846885681503</v>
      </c>
      <c r="I134" s="99">
        <f t="shared" ca="1" si="92"/>
        <v>1475.2823081900608</v>
      </c>
      <c r="J134" s="99">
        <f t="shared" ca="1" si="92"/>
        <v>1539.3076686767224</v>
      </c>
      <c r="K134" s="99">
        <f t="shared" ca="1" si="92"/>
        <v>1607.1890864574209</v>
      </c>
      <c r="L134" s="99">
        <f ca="1">L115+L117+L123+L129+L133</f>
        <v>1679.1693214814627</v>
      </c>
    </row>
    <row r="135" spans="2:12">
      <c r="B135" s="34"/>
      <c r="C135" s="34"/>
      <c r="D135" s="34"/>
      <c r="E135" s="34"/>
      <c r="F135" s="34"/>
      <c r="G135" s="34"/>
      <c r="H135" s="34"/>
      <c r="I135" s="34"/>
      <c r="J135" s="34"/>
      <c r="K135" s="34"/>
      <c r="L135" s="34"/>
    </row>
    <row r="136" spans="2:12">
      <c r="B136" s="34" t="s">
        <v>278</v>
      </c>
      <c r="K136" s="32"/>
      <c r="L136" s="32"/>
    </row>
    <row r="137" spans="2:12">
      <c r="B137" s="32" t="s">
        <v>279</v>
      </c>
      <c r="C137" s="93">
        <f>'Organized PL&amp;BS'!C66</f>
        <v>2.9</v>
      </c>
      <c r="D137" s="93">
        <f>'Organized PL&amp;BS'!D66</f>
        <v>2.9</v>
      </c>
      <c r="E137" s="93">
        <f>'Organized PL&amp;BS'!E66</f>
        <v>5.7</v>
      </c>
      <c r="F137" s="93">
        <f>'Organized PL&amp;BS'!F66</f>
        <v>5.8</v>
      </c>
      <c r="G137" s="93">
        <f>'Organized PL&amp;BS'!G66</f>
        <v>5.7</v>
      </c>
      <c r="H137" s="73"/>
      <c r="I137" s="73"/>
      <c r="J137" s="73"/>
      <c r="K137" s="73"/>
      <c r="L137" s="73"/>
    </row>
    <row r="138" spans="2:12">
      <c r="B138" s="83" t="s">
        <v>260</v>
      </c>
      <c r="C138" s="138" t="str">
        <f t="shared" ref="C138:G138" si="93">IFERROR(C137/B137-1,"na")</f>
        <v>na</v>
      </c>
      <c r="D138" s="97">
        <f t="shared" si="93"/>
        <v>0</v>
      </c>
      <c r="E138" s="97">
        <f t="shared" si="93"/>
        <v>0.9655172413793105</v>
      </c>
      <c r="F138" s="97">
        <f t="shared" si="93"/>
        <v>1.754385964912264E-2</v>
      </c>
      <c r="G138" s="97">
        <f t="shared" si="93"/>
        <v>-1.7241379310344751E-2</v>
      </c>
      <c r="H138" s="90">
        <v>0.02</v>
      </c>
      <c r="I138" s="90">
        <f>H138</f>
        <v>0.02</v>
      </c>
      <c r="J138" s="90">
        <f t="shared" ref="J138:L138" si="94">I138</f>
        <v>0.02</v>
      </c>
      <c r="K138" s="90">
        <f t="shared" si="94"/>
        <v>0.02</v>
      </c>
      <c r="L138" s="90">
        <f t="shared" si="94"/>
        <v>0.02</v>
      </c>
    </row>
    <row r="139" spans="2:12">
      <c r="B139" s="76" t="str">
        <f>B137</f>
        <v>Common stock</v>
      </c>
      <c r="C139" s="91">
        <f>C137</f>
        <v>2.9</v>
      </c>
      <c r="D139" s="91">
        <f t="shared" ref="D139:G139" si="95">D137</f>
        <v>2.9</v>
      </c>
      <c r="E139" s="91">
        <f t="shared" si="95"/>
        <v>5.7</v>
      </c>
      <c r="F139" s="91">
        <f t="shared" si="95"/>
        <v>5.8</v>
      </c>
      <c r="G139" s="91">
        <f t="shared" si="95"/>
        <v>5.7</v>
      </c>
      <c r="H139" s="91">
        <f>IF(H137,H137,G139*(1+H138))</f>
        <v>5.8140000000000001</v>
      </c>
      <c r="I139" s="91">
        <f>IF(I137,I137,H139*(1+I138))</f>
        <v>5.9302799999999998</v>
      </c>
      <c r="J139" s="91">
        <f>IF(J137,J137,I139*(1+J138))</f>
        <v>6.0488856000000002</v>
      </c>
      <c r="K139" s="91">
        <f>IF(K137,K137,J139*(1+K138))</f>
        <v>6.1698633120000004</v>
      </c>
      <c r="L139" s="91">
        <f>IF(L137,L137,K139*(1+L138))</f>
        <v>6.2932605782400008</v>
      </c>
    </row>
    <row r="140" spans="2:12">
      <c r="H140" s="89"/>
      <c r="I140" s="89"/>
      <c r="J140" s="89"/>
      <c r="K140" s="89"/>
      <c r="L140" s="89"/>
    </row>
    <row r="141" spans="2:12">
      <c r="B141" s="36" t="s">
        <v>50</v>
      </c>
      <c r="C141" s="93">
        <f>'Organized PL&amp;BS'!C67</f>
        <v>3</v>
      </c>
      <c r="D141" s="93">
        <f>'Organized PL&amp;BS'!D67</f>
        <v>67.2</v>
      </c>
      <c r="E141" s="93">
        <f>'Organized PL&amp;BS'!E67</f>
        <v>59.1</v>
      </c>
      <c r="F141" s="93">
        <f>'Organized PL&amp;BS'!F67</f>
        <v>96.2</v>
      </c>
      <c r="G141" s="93">
        <f>'Organized PL&amp;BS'!G67</f>
        <v>3.6</v>
      </c>
      <c r="H141" s="73"/>
      <c r="I141" s="73"/>
      <c r="J141" s="73"/>
      <c r="K141" s="73"/>
      <c r="L141" s="73"/>
    </row>
    <row r="142" spans="2:12">
      <c r="B142" s="74" t="s">
        <v>259</v>
      </c>
      <c r="C142" s="97">
        <f>IFERROR(C141/C$7,"na")</f>
        <v>6.0421743771525238E-4</v>
      </c>
      <c r="D142" s="97">
        <f t="shared" ref="D142:G142" si="96">IFERROR(D141/D$7,"na")</f>
        <v>1.2599133809550595E-2</v>
      </c>
      <c r="E142" s="97">
        <f t="shared" si="96"/>
        <v>1.0465178049687461E-2</v>
      </c>
      <c r="F142" s="97">
        <f t="shared" si="96"/>
        <v>1.6004258929611208E-2</v>
      </c>
      <c r="G142" s="97">
        <f t="shared" si="96"/>
        <v>5.157149815202131E-4</v>
      </c>
      <c r="H142" s="220">
        <v>8.0377006416169506E-3</v>
      </c>
      <c r="I142" s="90">
        <f>H142</f>
        <v>8.0377006416169506E-3</v>
      </c>
      <c r="J142" s="90">
        <f t="shared" ref="J142:L142" si="97">I142</f>
        <v>8.0377006416169506E-3</v>
      </c>
      <c r="K142" s="90">
        <f t="shared" si="97"/>
        <v>8.0377006416169506E-3</v>
      </c>
      <c r="L142" s="90">
        <f t="shared" si="97"/>
        <v>8.0377006416169506E-3</v>
      </c>
    </row>
    <row r="143" spans="2:12">
      <c r="B143" s="76" t="str">
        <f t="shared" ref="B143:G143" si="98">B141</f>
        <v>Additional Paid In Capital</v>
      </c>
      <c r="C143" s="91">
        <f t="shared" si="98"/>
        <v>3</v>
      </c>
      <c r="D143" s="91">
        <f t="shared" si="98"/>
        <v>67.2</v>
      </c>
      <c r="E143" s="91">
        <f t="shared" si="98"/>
        <v>59.1</v>
      </c>
      <c r="F143" s="91">
        <f t="shared" si="98"/>
        <v>96.2</v>
      </c>
      <c r="G143" s="91">
        <f t="shared" si="98"/>
        <v>3.6</v>
      </c>
      <c r="H143" s="91">
        <f>IF(H141,H141,G143*(1+H142))</f>
        <v>3.6289357223098215</v>
      </c>
      <c r="I143" s="91">
        <f t="shared" ref="I143:L143" si="99">IF(I141,I141,H143*(1+I142))</f>
        <v>3.6581040212934179</v>
      </c>
      <c r="J143" s="91">
        <f t="shared" si="99"/>
        <v>3.6875067663324699</v>
      </c>
      <c r="K143" s="91">
        <f t="shared" si="99"/>
        <v>3.7171458418341876</v>
      </c>
      <c r="L143" s="91">
        <f t="shared" si="99"/>
        <v>3.7470231473520821</v>
      </c>
    </row>
    <row r="144" spans="2:12">
      <c r="K144" s="32"/>
      <c r="L144" s="32"/>
    </row>
    <row r="145" spans="2:12">
      <c r="B145" s="32" t="s">
        <v>280</v>
      </c>
      <c r="C145" s="93">
        <f>'Organized PL&amp;BS'!C68</f>
        <v>2341.6</v>
      </c>
      <c r="D145" s="93">
        <f>'Organized PL&amp;BS'!D68</f>
        <v>2633.9</v>
      </c>
      <c r="E145" s="93">
        <f>'Organized PL&amp;BS'!E68</f>
        <v>2689.6</v>
      </c>
      <c r="F145" s="93">
        <f>'Organized PL&amp;BS'!F68</f>
        <v>2970.9</v>
      </c>
      <c r="G145" s="93">
        <f>'Organized PL&amp;BS'!G68</f>
        <v>3218.7</v>
      </c>
      <c r="K145" s="32"/>
      <c r="L145" s="32"/>
    </row>
    <row r="146" spans="2:12">
      <c r="B146" s="78" t="s">
        <v>281</v>
      </c>
      <c r="C146" s="50"/>
      <c r="D146" s="50"/>
      <c r="E146" s="50"/>
      <c r="F146" s="50"/>
      <c r="G146" s="50"/>
      <c r="H146" s="100">
        <f ca="1">H58</f>
        <v>363.30693093503032</v>
      </c>
      <c r="I146" s="100">
        <f ca="1">I58</f>
        <v>232.97939020898343</v>
      </c>
      <c r="J146" s="100">
        <f ca="1">J58</f>
        <v>360.68668566268911</v>
      </c>
      <c r="K146" s="100">
        <f ca="1">K58</f>
        <v>219.95064176291658</v>
      </c>
      <c r="L146" s="100">
        <f ca="1">L58</f>
        <v>333.44725250420151</v>
      </c>
    </row>
    <row r="147" spans="2:12">
      <c r="B147" s="76" t="str">
        <f>B145</f>
        <v>Retained earnings</v>
      </c>
      <c r="C147" s="91">
        <f>C145</f>
        <v>2341.6</v>
      </c>
      <c r="D147" s="91">
        <f t="shared" ref="D147:G147" si="100">D145</f>
        <v>2633.9</v>
      </c>
      <c r="E147" s="91">
        <f t="shared" si="100"/>
        <v>2689.6</v>
      </c>
      <c r="F147" s="91">
        <f t="shared" si="100"/>
        <v>2970.9</v>
      </c>
      <c r="G147" s="91">
        <f t="shared" si="100"/>
        <v>3218.7</v>
      </c>
      <c r="H147" s="91">
        <f ca="1">G147+H146</f>
        <v>3582.0069309350301</v>
      </c>
      <c r="I147" s="91">
        <f t="shared" ref="I147:L147" ca="1" si="101">H147+I146</f>
        <v>3814.9863211440133</v>
      </c>
      <c r="J147" s="91">
        <f t="shared" ca="1" si="101"/>
        <v>4175.6730068067027</v>
      </c>
      <c r="K147" s="91">
        <f t="shared" ca="1" si="101"/>
        <v>4395.623648569619</v>
      </c>
      <c r="L147" s="91">
        <f t="shared" ca="1" si="101"/>
        <v>4729.070901073821</v>
      </c>
    </row>
    <row r="148" spans="2:12">
      <c r="K148" s="32"/>
      <c r="L148" s="32"/>
    </row>
    <row r="149" spans="2:12">
      <c r="B149" s="36" t="s">
        <v>53</v>
      </c>
      <c r="C149" s="148">
        <v>-44.8</v>
      </c>
      <c r="D149" s="148">
        <v>-38.4</v>
      </c>
      <c r="E149" s="148">
        <v>-21.2</v>
      </c>
      <c r="F149" s="148">
        <v>-30.7</v>
      </c>
      <c r="G149" s="148">
        <v>-64.8</v>
      </c>
      <c r="H149" s="73"/>
      <c r="I149" s="73"/>
      <c r="J149" s="73"/>
      <c r="K149" s="73"/>
      <c r="L149" s="73"/>
    </row>
    <row r="150" spans="2:12">
      <c r="B150" s="74" t="s">
        <v>259</v>
      </c>
      <c r="C150" s="97">
        <f t="shared" ref="C150:G150" si="102">IFERROR(C149/C$7,"na")</f>
        <v>-9.0229804032144357E-3</v>
      </c>
      <c r="D150" s="97">
        <f t="shared" si="102"/>
        <v>-7.1995050340289109E-3</v>
      </c>
      <c r="E150" s="97">
        <f t="shared" si="102"/>
        <v>-3.7540063393125917E-3</v>
      </c>
      <c r="F150" s="97">
        <f t="shared" si="102"/>
        <v>-5.1073882446888152E-3</v>
      </c>
      <c r="G150" s="97">
        <f t="shared" si="102"/>
        <v>-9.2828696673638352E-3</v>
      </c>
      <c r="H150" s="90">
        <f>AVERAGE(C150:G150)</f>
        <v>-6.8733499377217179E-3</v>
      </c>
      <c r="I150" s="90">
        <f>H150</f>
        <v>-6.8733499377217179E-3</v>
      </c>
      <c r="J150" s="90">
        <f t="shared" ref="J150:L150" si="103">I150</f>
        <v>-6.8733499377217179E-3</v>
      </c>
      <c r="K150" s="90">
        <f t="shared" si="103"/>
        <v>-6.8733499377217179E-3</v>
      </c>
      <c r="L150" s="90">
        <f t="shared" si="103"/>
        <v>-6.8733499377217179E-3</v>
      </c>
    </row>
    <row r="151" spans="2:12">
      <c r="B151" s="76" t="str">
        <f>B149</f>
        <v>Comprehensive Inc. and Other</v>
      </c>
      <c r="C151" s="149">
        <f>C149</f>
        <v>-44.8</v>
      </c>
      <c r="D151" s="149">
        <f t="shared" ref="D151:G151" si="104">D149</f>
        <v>-38.4</v>
      </c>
      <c r="E151" s="149">
        <f t="shared" si="104"/>
        <v>-21.2</v>
      </c>
      <c r="F151" s="149">
        <f t="shared" si="104"/>
        <v>-30.7</v>
      </c>
      <c r="G151" s="149">
        <f t="shared" si="104"/>
        <v>-64.8</v>
      </c>
      <c r="H151" s="149">
        <f>IF(H149,H149,H150*H$7)</f>
        <v>-51.017247321474194</v>
      </c>
      <c r="I151" s="149">
        <f t="shared" ref="I151:L151" si="105">IF(I149,I149,I150*I$7)</f>
        <v>-54.246639076923501</v>
      </c>
      <c r="J151" s="149">
        <f t="shared" si="105"/>
        <v>-57.680451330492751</v>
      </c>
      <c r="K151" s="149">
        <f t="shared" si="105"/>
        <v>-61.331623899712945</v>
      </c>
      <c r="L151" s="149">
        <f t="shared" si="105"/>
        <v>-65.213915692564768</v>
      </c>
    </row>
    <row r="152" spans="2:12">
      <c r="B152" s="77" t="s">
        <v>282</v>
      </c>
      <c r="C152" s="99">
        <f>C139+C143+C147+C151</f>
        <v>2302.6999999999998</v>
      </c>
      <c r="D152" s="99">
        <f t="shared" ref="D152:L152" si="106">D139+D143+D147+D151</f>
        <v>2665.6</v>
      </c>
      <c r="E152" s="99">
        <f t="shared" si="106"/>
        <v>2733.2000000000003</v>
      </c>
      <c r="F152" s="99">
        <f t="shared" si="106"/>
        <v>3042.2000000000003</v>
      </c>
      <c r="G152" s="99">
        <f t="shared" si="106"/>
        <v>3163.2</v>
      </c>
      <c r="H152" s="99">
        <f t="shared" ca="1" si="106"/>
        <v>3540.4326193358656</v>
      </c>
      <c r="I152" s="99">
        <f t="shared" ca="1" si="106"/>
        <v>3770.3280660883829</v>
      </c>
      <c r="J152" s="99">
        <f t="shared" ca="1" si="106"/>
        <v>4127.7289478425428</v>
      </c>
      <c r="K152" s="99">
        <f t="shared" ca="1" si="106"/>
        <v>4344.1790338237397</v>
      </c>
      <c r="L152" s="99">
        <f t="shared" ca="1" si="106"/>
        <v>4673.8972691068484</v>
      </c>
    </row>
    <row r="153" spans="2:12" ht="16" thickBot="1">
      <c r="B153" s="81" t="s">
        <v>283</v>
      </c>
      <c r="C153" s="162">
        <f>C134+C152</f>
        <v>3321.5</v>
      </c>
      <c r="D153" s="162">
        <f t="shared" ref="D153:L153" si="107">D134+D152</f>
        <v>3799.9</v>
      </c>
      <c r="E153" s="162">
        <f t="shared" si="107"/>
        <v>3964.7000000000003</v>
      </c>
      <c r="F153" s="162">
        <f t="shared" si="107"/>
        <v>4299</v>
      </c>
      <c r="G153" s="162">
        <f t="shared" si="107"/>
        <v>4548.6000000000004</v>
      </c>
      <c r="H153" s="162">
        <f t="shared" ca="1" si="107"/>
        <v>4955.3173079040162</v>
      </c>
      <c r="I153" s="162">
        <f t="shared" ca="1" si="107"/>
        <v>5245.6103742784435</v>
      </c>
      <c r="J153" s="162">
        <f t="shared" ca="1" si="107"/>
        <v>5667.0366165192654</v>
      </c>
      <c r="K153" s="162">
        <f t="shared" ca="1" si="107"/>
        <v>5951.3681202811604</v>
      </c>
      <c r="L153" s="162">
        <f t="shared" ca="1" si="107"/>
        <v>6353.0665905883106</v>
      </c>
    </row>
    <row r="154" spans="2:12" ht="17" thickTop="1" thickBot="1">
      <c r="K154" s="32"/>
      <c r="L154" s="32"/>
    </row>
    <row r="155" spans="2:12">
      <c r="B155" s="85" t="s">
        <v>284</v>
      </c>
      <c r="C155" s="150"/>
      <c r="D155" s="150"/>
      <c r="E155" s="150"/>
      <c r="F155" s="150"/>
      <c r="G155" s="150"/>
      <c r="H155" s="150"/>
      <c r="I155" s="150"/>
      <c r="J155" s="150"/>
      <c r="K155" s="150"/>
      <c r="L155" s="151"/>
    </row>
    <row r="156" spans="2:12">
      <c r="B156" s="86" t="s">
        <v>285</v>
      </c>
      <c r="C156" s="163">
        <f>C71+C78+C83+C87+C95+C99</f>
        <v>3321.5</v>
      </c>
      <c r="D156" s="163">
        <f t="shared" ref="D156:L156" si="108">D71+D78+D83+D87+D95+D99</f>
        <v>3799.8999999999996</v>
      </c>
      <c r="E156" s="163">
        <f t="shared" si="108"/>
        <v>3964.7</v>
      </c>
      <c r="F156" s="163">
        <f t="shared" si="108"/>
        <v>4299</v>
      </c>
      <c r="G156" s="163">
        <f t="shared" si="108"/>
        <v>4548.6000000000004</v>
      </c>
      <c r="H156" s="163">
        <f t="shared" si="108"/>
        <v>4837.0167510348874</v>
      </c>
      <c r="I156" s="163">
        <f t="shared" si="108"/>
        <v>5048.7730330259701</v>
      </c>
      <c r="J156" s="163">
        <f t="shared" si="108"/>
        <v>5298.6452478367119</v>
      </c>
      <c r="K156" s="163">
        <f t="shared" si="108"/>
        <v>5588.8215991085372</v>
      </c>
      <c r="L156" s="164">
        <f t="shared" si="108"/>
        <v>5921.6145907138198</v>
      </c>
    </row>
    <row r="157" spans="2:12">
      <c r="B157" s="86" t="s">
        <v>286</v>
      </c>
      <c r="C157" s="165">
        <f>C106+C110+C114+C123+C129+C133+C152</f>
        <v>3321.5</v>
      </c>
      <c r="D157" s="165">
        <f t="shared" ref="D157:L157" si="109">D106+D110+D114+D123+D129+D133+D152</f>
        <v>3799.9</v>
      </c>
      <c r="E157" s="165">
        <f t="shared" si="109"/>
        <v>3964.7000000000003</v>
      </c>
      <c r="F157" s="165">
        <f t="shared" si="109"/>
        <v>4299</v>
      </c>
      <c r="G157" s="165">
        <f t="shared" si="109"/>
        <v>4548.6000000000004</v>
      </c>
      <c r="H157" s="165">
        <f t="shared" ca="1" si="109"/>
        <v>4955.3173079040162</v>
      </c>
      <c r="I157" s="165">
        <f t="shared" ca="1" si="109"/>
        <v>5245.6103742784435</v>
      </c>
      <c r="J157" s="165">
        <f t="shared" ca="1" si="109"/>
        <v>5667.0366165192654</v>
      </c>
      <c r="K157" s="165">
        <f t="shared" ca="1" si="109"/>
        <v>5951.3681202811604</v>
      </c>
      <c r="L157" s="164">
        <f t="shared" ca="1" si="109"/>
        <v>6353.0665905883106</v>
      </c>
    </row>
    <row r="158" spans="2:12">
      <c r="B158" s="86" t="s">
        <v>313</v>
      </c>
      <c r="C158" s="165"/>
      <c r="D158" s="165"/>
      <c r="E158" s="165"/>
      <c r="F158" s="165"/>
      <c r="G158" s="165"/>
      <c r="H158" s="163">
        <f ca="1">MAX(0,H157-H156)</f>
        <v>118.30055686912874</v>
      </c>
      <c r="I158" s="163">
        <f t="shared" ref="I158:K158" ca="1" si="110">MAX(0,I157-I156)</f>
        <v>196.83734125247338</v>
      </c>
      <c r="J158" s="163">
        <f t="shared" ca="1" si="110"/>
        <v>368.39136868255355</v>
      </c>
      <c r="K158" s="163">
        <f t="shared" ca="1" si="110"/>
        <v>362.54652117262322</v>
      </c>
      <c r="L158" s="164">
        <f ca="1">MAX(0,L157-L156)</f>
        <v>431.45199987449087</v>
      </c>
    </row>
    <row r="159" spans="2:12" ht="16" thickBot="1">
      <c r="B159" s="87" t="s">
        <v>247</v>
      </c>
      <c r="C159" s="152"/>
      <c r="D159" s="152"/>
      <c r="E159" s="152"/>
      <c r="F159" s="152"/>
      <c r="G159" s="152"/>
      <c r="H159" s="166">
        <f ca="1">MAX(0,H156-H157)</f>
        <v>0</v>
      </c>
      <c r="I159" s="152">
        <f t="shared" ref="I159:K159" ca="1" si="111">MAX(0,I156-I157)</f>
        <v>0</v>
      </c>
      <c r="J159" s="152">
        <f t="shared" ca="1" si="111"/>
        <v>0</v>
      </c>
      <c r="K159" s="152">
        <f t="shared" ca="1" si="111"/>
        <v>0</v>
      </c>
      <c r="L159" s="153">
        <f ca="1">MAX(0,L156-L157)</f>
        <v>0</v>
      </c>
    </row>
    <row r="161" spans="2:2">
      <c r="B161" s="88"/>
    </row>
    <row r="162" spans="2:2">
      <c r="B162" s="88"/>
    </row>
    <row r="164" spans="2:2">
      <c r="B164" s="154"/>
    </row>
    <row r="165" spans="2:2">
      <c r="B165" s="88"/>
    </row>
    <row r="166" spans="2:2">
      <c r="B166" s="88"/>
    </row>
  </sheetData>
  <phoneticPr fontId="2"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494D1-A17C-462B-8F7B-7DD0935FDD19}">
  <dimension ref="A2:N158"/>
  <sheetViews>
    <sheetView workbookViewId="0">
      <selection activeCell="C36" sqref="C36"/>
    </sheetView>
  </sheetViews>
  <sheetFormatPr baseColWidth="10" defaultColWidth="5.83203125" defaultRowHeight="15"/>
  <cols>
    <col min="1" max="1" width="7.83203125" customWidth="1"/>
    <col min="2" max="2" width="22.5" style="105" customWidth="1"/>
    <col min="3" max="10" width="10.5" style="32" customWidth="1"/>
    <col min="11" max="12" width="10.5" customWidth="1"/>
    <col min="14" max="14" width="6.1640625" bestFit="1" customWidth="1"/>
  </cols>
  <sheetData>
    <row r="2" spans="2:14">
      <c r="H2" s="72"/>
      <c r="I2" s="72"/>
      <c r="J2" s="72"/>
      <c r="K2" s="72"/>
      <c r="L2" s="72"/>
      <c r="N2" s="106"/>
    </row>
    <row r="3" spans="2:14" ht="16" thickBot="1">
      <c r="B3" s="107" t="s">
        <v>204</v>
      </c>
      <c r="C3" s="71">
        <v>43465</v>
      </c>
      <c r="D3" s="71">
        <v>43830</v>
      </c>
      <c r="E3" s="71">
        <v>44196</v>
      </c>
      <c r="F3" s="71">
        <v>44561</v>
      </c>
      <c r="G3" s="71">
        <v>44926</v>
      </c>
      <c r="H3" s="71">
        <v>45291</v>
      </c>
      <c r="I3" s="71">
        <v>45657</v>
      </c>
      <c r="J3" s="71">
        <v>46022</v>
      </c>
      <c r="K3" s="71">
        <v>46387</v>
      </c>
      <c r="L3" s="71">
        <v>46752</v>
      </c>
    </row>
    <row r="4" spans="2:14" ht="16" thickTop="1">
      <c r="B4" s="105" t="s">
        <v>234</v>
      </c>
      <c r="C4" s="89">
        <f>Input!C7</f>
        <v>4965.1000000000004</v>
      </c>
      <c r="D4" s="89">
        <f>Input!D7</f>
        <v>5333.7</v>
      </c>
      <c r="E4" s="89">
        <f>Input!E7</f>
        <v>5647.3</v>
      </c>
      <c r="F4" s="89">
        <f>Input!F7</f>
        <v>6010.9</v>
      </c>
      <c r="G4" s="89">
        <f>Input!G7</f>
        <v>6980.6</v>
      </c>
      <c r="H4" s="89">
        <f>Input!H7</f>
        <v>7422.4719799999993</v>
      </c>
      <c r="I4" s="89">
        <f>Input!I7</f>
        <v>7892.3144563339984</v>
      </c>
      <c r="J4" s="89">
        <f>Input!J7</f>
        <v>8391.8979614199397</v>
      </c>
      <c r="K4" s="89">
        <f>Input!K7</f>
        <v>8923.1051023778218</v>
      </c>
      <c r="L4" s="89">
        <f>Input!L7</f>
        <v>9487.937655358337</v>
      </c>
    </row>
    <row r="5" spans="2:14">
      <c r="B5" s="105" t="s">
        <v>236</v>
      </c>
      <c r="C5" s="89">
        <f>Input!C11</f>
        <v>2428</v>
      </c>
      <c r="D5" s="89">
        <f>Input!D11</f>
        <v>2669.6000000000004</v>
      </c>
      <c r="E5" s="89">
        <f>Input!E11</f>
        <v>2917.1</v>
      </c>
      <c r="F5" s="89">
        <f>Input!F11</f>
        <v>3063</v>
      </c>
      <c r="G5" s="89">
        <f>Input!G11</f>
        <v>3588.2000000000003</v>
      </c>
      <c r="H5" s="89">
        <f>Input!H11</f>
        <v>3755.2890872212888</v>
      </c>
      <c r="I5" s="89">
        <f>Input!I11</f>
        <v>3992.9988864423963</v>
      </c>
      <c r="J5" s="89">
        <f>Input!J11</f>
        <v>4245.7557159541993</v>
      </c>
      <c r="K5" s="89">
        <f>Input!K11</f>
        <v>4514.5120527741001</v>
      </c>
      <c r="L5" s="89">
        <f>Input!L11</f>
        <v>4800.2806657147003</v>
      </c>
    </row>
    <row r="6" spans="2:14">
      <c r="B6" s="107" t="s">
        <v>288</v>
      </c>
      <c r="C6" s="118">
        <f>C4-C5</f>
        <v>2537.1000000000004</v>
      </c>
      <c r="D6" s="118">
        <f t="shared" ref="D6:K6" si="0">D4-D5</f>
        <v>2664.0999999999995</v>
      </c>
      <c r="E6" s="118">
        <f t="shared" si="0"/>
        <v>2730.2000000000003</v>
      </c>
      <c r="F6" s="118">
        <f t="shared" si="0"/>
        <v>2947.8999999999996</v>
      </c>
      <c r="G6" s="118">
        <f t="shared" si="0"/>
        <v>3392.4</v>
      </c>
      <c r="H6" s="118">
        <f t="shared" si="0"/>
        <v>3667.1828927787105</v>
      </c>
      <c r="I6" s="118">
        <f t="shared" si="0"/>
        <v>3899.3155698916021</v>
      </c>
      <c r="J6" s="118">
        <f t="shared" si="0"/>
        <v>4146.1422454657404</v>
      </c>
      <c r="K6" s="118">
        <f t="shared" si="0"/>
        <v>4408.5930496037217</v>
      </c>
      <c r="L6" s="118">
        <f>L4-L5</f>
        <v>4687.6569896436367</v>
      </c>
    </row>
    <row r="7" spans="2:14">
      <c r="C7" s="89"/>
      <c r="D7" s="89"/>
      <c r="E7" s="89"/>
      <c r="F7" s="89"/>
      <c r="G7" s="89"/>
      <c r="H7" s="89"/>
      <c r="I7" s="89"/>
      <c r="J7" s="89"/>
      <c r="K7" s="89"/>
      <c r="L7" s="89"/>
    </row>
    <row r="8" spans="2:14">
      <c r="B8" s="109" t="s">
        <v>240</v>
      </c>
      <c r="C8" s="133">
        <f>Input!C17</f>
        <v>1400.2</v>
      </c>
      <c r="D8" s="133">
        <f>Input!D17</f>
        <v>1458.2</v>
      </c>
      <c r="E8" s="133">
        <f>Input!E17</f>
        <v>1426</v>
      </c>
      <c r="F8" s="133">
        <f>Input!F17</f>
        <v>1559.8</v>
      </c>
      <c r="G8" s="133">
        <f>Input!G17</f>
        <v>1762.2</v>
      </c>
      <c r="H8" s="133">
        <f>Input!H17</f>
        <v>1959.3097886399296</v>
      </c>
      <c r="I8" s="133">
        <f>Input!I17</f>
        <v>2083.334098260837</v>
      </c>
      <c r="J8" s="133">
        <f>Input!J17</f>
        <v>2215.2091466807474</v>
      </c>
      <c r="K8" s="133">
        <f>Input!K17</f>
        <v>2355.4318856656387</v>
      </c>
      <c r="L8" s="133">
        <f>Input!L17</f>
        <v>2504.5307240282737</v>
      </c>
    </row>
    <row r="9" spans="2:14">
      <c r="B9" s="107" t="s">
        <v>182</v>
      </c>
      <c r="C9" s="137">
        <f>C6-C8</f>
        <v>1136.9000000000003</v>
      </c>
      <c r="D9" s="137">
        <f t="shared" ref="D9:L9" si="1">D6-D8</f>
        <v>1205.8999999999994</v>
      </c>
      <c r="E9" s="137">
        <f t="shared" si="1"/>
        <v>1304.2000000000003</v>
      </c>
      <c r="F9" s="137">
        <f t="shared" si="1"/>
        <v>1388.0999999999997</v>
      </c>
      <c r="G9" s="137">
        <f t="shared" si="1"/>
        <v>1630.2</v>
      </c>
      <c r="H9" s="137">
        <f t="shared" si="1"/>
        <v>1707.8731041387809</v>
      </c>
      <c r="I9" s="137">
        <f t="shared" si="1"/>
        <v>1815.9814716307651</v>
      </c>
      <c r="J9" s="137">
        <f t="shared" si="1"/>
        <v>1930.933098784993</v>
      </c>
      <c r="K9" s="137">
        <f t="shared" si="1"/>
        <v>2053.1611639380831</v>
      </c>
      <c r="L9" s="137">
        <f t="shared" si="1"/>
        <v>2183.1262656153631</v>
      </c>
    </row>
    <row r="10" spans="2:14">
      <c r="B10" s="107"/>
      <c r="C10" s="118"/>
      <c r="D10" s="118"/>
      <c r="E10" s="118"/>
      <c r="F10" s="118"/>
      <c r="G10" s="118"/>
      <c r="H10" s="118"/>
      <c r="I10" s="118"/>
      <c r="J10" s="118"/>
      <c r="K10" s="118"/>
      <c r="L10" s="118"/>
    </row>
    <row r="11" spans="2:14">
      <c r="B11" s="105" t="s">
        <v>95</v>
      </c>
      <c r="C11" s="114">
        <f>Input!C24</f>
        <v>134.1</v>
      </c>
      <c r="D11" s="114">
        <f>Input!D24</f>
        <v>144.6</v>
      </c>
      <c r="E11" s="114">
        <f>Input!E24</f>
        <v>153.30000000000001</v>
      </c>
      <c r="F11" s="114">
        <f>Input!F24</f>
        <v>159.9</v>
      </c>
      <c r="G11" s="114">
        <f>Input!G24</f>
        <v>165.9</v>
      </c>
      <c r="H11" s="114">
        <f>Input!H24</f>
        <v>184.47549243239436</v>
      </c>
      <c r="I11" s="114">
        <f>Input!I24</f>
        <v>194.9068063293976</v>
      </c>
      <c r="J11" s="114">
        <f>Input!J24</f>
        <v>207.70834088468533</v>
      </c>
      <c r="K11" s="114">
        <f>Input!K24</f>
        <v>223.13836890625561</v>
      </c>
      <c r="L11" s="114">
        <f>Input!L24</f>
        <v>241.4783633261456</v>
      </c>
    </row>
    <row r="12" spans="2:14">
      <c r="B12" s="105" t="s">
        <v>96</v>
      </c>
      <c r="C12" s="89">
        <f>Input!C27</f>
        <v>4.0999999999999996</v>
      </c>
      <c r="D12" s="89">
        <f>Input!D27</f>
        <v>4.0999999999999996</v>
      </c>
      <c r="E12" s="89">
        <f>Input!E27</f>
        <v>9.1</v>
      </c>
      <c r="F12" s="89">
        <f>Input!F27</f>
        <v>10.8</v>
      </c>
      <c r="G12" s="89">
        <f>Input!G27</f>
        <v>10.7</v>
      </c>
      <c r="H12" s="89">
        <f>Input!H27</f>
        <v>10.799999999999999</v>
      </c>
      <c r="I12" s="89">
        <f>Input!I27</f>
        <v>10.899999999999999</v>
      </c>
      <c r="J12" s="89">
        <f>Input!J27</f>
        <v>10.999999999999998</v>
      </c>
      <c r="K12" s="89">
        <f>Input!K27</f>
        <v>11.099999999999998</v>
      </c>
      <c r="L12" s="89">
        <f>Input!L27</f>
        <v>11.199999999999998</v>
      </c>
    </row>
    <row r="13" spans="2:14" s="34" customFormat="1" ht="13">
      <c r="B13" s="107" t="s">
        <v>184</v>
      </c>
      <c r="C13" s="118">
        <f>C9-C11-C12</f>
        <v>998.70000000000027</v>
      </c>
      <c r="D13" s="118">
        <f t="shared" ref="D13:L13" si="2">D9-D11-D12</f>
        <v>1057.1999999999996</v>
      </c>
      <c r="E13" s="118">
        <f t="shared" si="2"/>
        <v>1141.8000000000004</v>
      </c>
      <c r="F13" s="118">
        <f t="shared" si="2"/>
        <v>1217.3999999999996</v>
      </c>
      <c r="G13" s="118">
        <f t="shared" si="2"/>
        <v>1453.6</v>
      </c>
      <c r="H13" s="118">
        <f t="shared" si="2"/>
        <v>1512.5976117063867</v>
      </c>
      <c r="I13" s="118">
        <f t="shared" si="2"/>
        <v>1610.1746653013674</v>
      </c>
      <c r="J13" s="118">
        <f t="shared" si="2"/>
        <v>1712.2247579003076</v>
      </c>
      <c r="K13" s="118">
        <f t="shared" si="2"/>
        <v>1818.9227950318275</v>
      </c>
      <c r="L13" s="118">
        <f t="shared" si="2"/>
        <v>1930.4479022892174</v>
      </c>
    </row>
    <row r="14" spans="2:14">
      <c r="B14" s="111"/>
      <c r="C14" s="133"/>
      <c r="D14" s="133"/>
      <c r="E14" s="133"/>
      <c r="F14" s="133"/>
      <c r="G14" s="133"/>
      <c r="H14" s="114"/>
      <c r="I14" s="114"/>
      <c r="J14" s="114"/>
      <c r="K14" s="114"/>
      <c r="L14" s="114"/>
    </row>
    <row r="15" spans="2:14">
      <c r="B15" s="105" t="s">
        <v>152</v>
      </c>
      <c r="C15" s="89">
        <f>Input!C34</f>
        <v>0.4</v>
      </c>
      <c r="D15" s="89">
        <f>Input!D34</f>
        <v>0.4</v>
      </c>
      <c r="E15" s="89">
        <f>Input!E34</f>
        <v>0.6</v>
      </c>
      <c r="F15" s="89">
        <f>Input!F34</f>
        <v>0.1</v>
      </c>
      <c r="G15" s="89">
        <f>Input!G34</f>
        <v>0.7</v>
      </c>
      <c r="H15" s="89">
        <f ca="1">Input!H34</f>
        <v>15.101724331842282</v>
      </c>
      <c r="I15" s="89">
        <f ca="1">Input!I34</f>
        <v>21.308693724748281</v>
      </c>
      <c r="J15" s="89">
        <f ca="1">Input!J34</f>
        <v>28.273013059365635</v>
      </c>
      <c r="K15" s="89">
        <f ca="1">Input!K34</f>
        <v>33.232991729006287</v>
      </c>
      <c r="L15" s="89">
        <f ca="1">Input!L34</f>
        <v>35.746371316896536</v>
      </c>
    </row>
    <row r="16" spans="2:14">
      <c r="B16" s="105" t="s">
        <v>246</v>
      </c>
      <c r="C16" s="89">
        <f>Input!C39</f>
        <v>12.6</v>
      </c>
      <c r="D16" s="89">
        <f>Input!D39</f>
        <v>13.9</v>
      </c>
      <c r="E16" s="89">
        <f>Input!E39</f>
        <v>9.6999999999999993</v>
      </c>
      <c r="F16" s="89">
        <f>Input!F39</f>
        <v>9.6999999999999993</v>
      </c>
      <c r="G16" s="89">
        <f>Input!G39</f>
        <v>14.3</v>
      </c>
      <c r="H16" s="89">
        <f ca="1">Input!H39</f>
        <v>19.741504807237916</v>
      </c>
      <c r="I16" s="89">
        <f ca="1">Input!I39</f>
        <v>19.874802933741819</v>
      </c>
      <c r="J16" s="89">
        <f ca="1">Input!J39</f>
        <v>20.009001112734275</v>
      </c>
      <c r="K16" s="89">
        <f ca="1">Input!K39</f>
        <v>20.144105421528614</v>
      </c>
      <c r="L16" s="89">
        <f ca="1">Input!L39</f>
        <v>20.280121978473275</v>
      </c>
    </row>
    <row r="17" spans="2:13" s="34" customFormat="1" ht="13">
      <c r="B17" s="107" t="s">
        <v>249</v>
      </c>
      <c r="C17" s="118">
        <f>C13+C15-C16+0.5</f>
        <v>987.00000000000023</v>
      </c>
      <c r="D17" s="118">
        <f t="shared" ref="D17:L17" si="3">D13+D15-D16</f>
        <v>1043.6999999999996</v>
      </c>
      <c r="E17" s="118">
        <f t="shared" si="3"/>
        <v>1132.7000000000003</v>
      </c>
      <c r="F17" s="118">
        <f t="shared" si="3"/>
        <v>1207.7999999999995</v>
      </c>
      <c r="G17" s="118">
        <f t="shared" si="3"/>
        <v>1440</v>
      </c>
      <c r="H17" s="118">
        <f t="shared" ca="1" si="3"/>
        <v>1507.9578312309909</v>
      </c>
      <c r="I17" s="118">
        <f t="shared" ca="1" si="3"/>
        <v>1611.6085560923739</v>
      </c>
      <c r="J17" s="118">
        <f t="shared" ca="1" si="3"/>
        <v>1720.488769846939</v>
      </c>
      <c r="K17" s="118">
        <f t="shared" ca="1" si="3"/>
        <v>1832.0116813393051</v>
      </c>
      <c r="L17" s="118">
        <f t="shared" ca="1" si="3"/>
        <v>1945.9141516276406</v>
      </c>
    </row>
    <row r="18" spans="2:13">
      <c r="C18" s="114"/>
      <c r="D18" s="114"/>
      <c r="E18" s="114"/>
      <c r="F18" s="114"/>
      <c r="G18" s="114"/>
      <c r="H18" s="114"/>
      <c r="I18" s="114"/>
      <c r="J18" s="114"/>
      <c r="K18" s="114"/>
      <c r="L18" s="114"/>
    </row>
    <row r="19" spans="2:13">
      <c r="B19" s="105" t="s">
        <v>160</v>
      </c>
      <c r="C19" s="89">
        <f>Input!C48</f>
        <v>235.1</v>
      </c>
      <c r="D19" s="89">
        <f>Input!D48</f>
        <v>252.8</v>
      </c>
      <c r="E19" s="89">
        <f>Input!E48</f>
        <v>273.60000000000002</v>
      </c>
      <c r="F19" s="89">
        <f>Input!F48</f>
        <v>282.8</v>
      </c>
      <c r="G19" s="89">
        <f>Input!G48</f>
        <v>353.1</v>
      </c>
      <c r="H19" s="89">
        <f ca="1">Input!H48</f>
        <v>362.30543406995321</v>
      </c>
      <c r="I19" s="89">
        <f ca="1">Input!I48</f>
        <v>387.20879680650455</v>
      </c>
      <c r="J19" s="89">
        <f ca="1">Input!J48</f>
        <v>413.36860863212735</v>
      </c>
      <c r="K19" s="89">
        <f ca="1">Input!K48</f>
        <v>440.1633611246441</v>
      </c>
      <c r="L19" s="89">
        <f ca="1">Input!L48</f>
        <v>467.52983191366309</v>
      </c>
    </row>
    <row r="20" spans="2:13">
      <c r="B20" s="107" t="s">
        <v>94</v>
      </c>
      <c r="C20" s="118">
        <f>C17-C19</f>
        <v>751.9000000000002</v>
      </c>
      <c r="D20" s="118">
        <f t="shared" ref="D20:L20" si="4">D17-D19</f>
        <v>790.89999999999964</v>
      </c>
      <c r="E20" s="118">
        <f t="shared" si="4"/>
        <v>859.10000000000025</v>
      </c>
      <c r="F20" s="118">
        <f t="shared" si="4"/>
        <v>924.99999999999955</v>
      </c>
      <c r="G20" s="118">
        <f t="shared" si="4"/>
        <v>1086.9000000000001</v>
      </c>
      <c r="H20" s="118">
        <f t="shared" ca="1" si="4"/>
        <v>1145.6523971610377</v>
      </c>
      <c r="I20" s="118">
        <f t="shared" ca="1" si="4"/>
        <v>1224.3997592858693</v>
      </c>
      <c r="J20" s="118">
        <f t="shared" ca="1" si="4"/>
        <v>1307.1201612148116</v>
      </c>
      <c r="K20" s="118">
        <f t="shared" ca="1" si="4"/>
        <v>1391.848320214661</v>
      </c>
      <c r="L20" s="118">
        <f t="shared" ca="1" si="4"/>
        <v>1478.3843197139777</v>
      </c>
    </row>
    <row r="21" spans="2:13">
      <c r="B21" s="111"/>
      <c r="C21" s="133"/>
      <c r="D21" s="133"/>
      <c r="E21" s="133"/>
      <c r="F21" s="133"/>
      <c r="G21" s="133"/>
      <c r="H21" s="114"/>
      <c r="I21" s="114"/>
      <c r="J21" s="114"/>
      <c r="K21" s="114"/>
      <c r="L21" s="114"/>
    </row>
    <row r="22" spans="2:13">
      <c r="B22" s="105" t="s">
        <v>254</v>
      </c>
      <c r="C22" s="89">
        <f>Input!C57</f>
        <v>544.9</v>
      </c>
      <c r="D22" s="89">
        <f>Input!D57</f>
        <v>498.6</v>
      </c>
      <c r="E22" s="89">
        <f>Input!E57</f>
        <v>625.9</v>
      </c>
      <c r="F22" s="89">
        <f>Input!F57</f>
        <v>643.70000000000005</v>
      </c>
      <c r="G22" s="89">
        <f>Input!G57</f>
        <v>949.09999999999991</v>
      </c>
      <c r="H22" s="89">
        <f>Input!H57</f>
        <v>782.34546622600737</v>
      </c>
      <c r="I22" s="89">
        <f>Input!I57</f>
        <v>991.42036907688589</v>
      </c>
      <c r="J22" s="89">
        <f>Input!J57</f>
        <v>946.43347555212245</v>
      </c>
      <c r="K22" s="89">
        <f>Input!K57</f>
        <v>1171.8976784517445</v>
      </c>
      <c r="L22" s="89">
        <f>Input!L57</f>
        <v>1144.9370672097762</v>
      </c>
    </row>
    <row r="23" spans="2:13">
      <c r="B23" s="107" t="s">
        <v>289</v>
      </c>
      <c r="C23" s="118">
        <f>C20-C22</f>
        <v>207.00000000000023</v>
      </c>
      <c r="D23" s="118">
        <f t="shared" ref="D23:L23" si="5">D20-D22</f>
        <v>292.29999999999961</v>
      </c>
      <c r="E23" s="118">
        <f t="shared" si="5"/>
        <v>233.20000000000027</v>
      </c>
      <c r="F23" s="118">
        <f t="shared" si="5"/>
        <v>281.2999999999995</v>
      </c>
      <c r="G23" s="118">
        <f t="shared" si="5"/>
        <v>137.80000000000018</v>
      </c>
      <c r="H23" s="118">
        <f t="shared" ca="1" si="5"/>
        <v>363.30693093503032</v>
      </c>
      <c r="I23" s="118">
        <f t="shared" ca="1" si="5"/>
        <v>232.97939020898343</v>
      </c>
      <c r="J23" s="118">
        <f t="shared" ca="1" si="5"/>
        <v>360.68668566268911</v>
      </c>
      <c r="K23" s="118">
        <f t="shared" ca="1" si="5"/>
        <v>219.95064176291658</v>
      </c>
      <c r="L23" s="118">
        <f t="shared" ca="1" si="5"/>
        <v>333.44725250420151</v>
      </c>
    </row>
    <row r="24" spans="2:13">
      <c r="C24" s="50"/>
      <c r="D24" s="50"/>
      <c r="E24" s="50"/>
      <c r="F24" s="50"/>
      <c r="G24" s="50"/>
      <c r="H24" s="50"/>
      <c r="I24" s="50"/>
      <c r="J24" s="50"/>
      <c r="K24" s="50"/>
      <c r="L24" s="50"/>
    </row>
    <row r="25" spans="2:13">
      <c r="K25" s="32"/>
      <c r="L25" s="32"/>
    </row>
    <row r="26" spans="2:13" ht="16" thickBot="1">
      <c r="B26" s="107" t="s">
        <v>257</v>
      </c>
      <c r="C26" s="71">
        <v>43465</v>
      </c>
      <c r="D26" s="71">
        <v>43830</v>
      </c>
      <c r="E26" s="71">
        <v>44196</v>
      </c>
      <c r="F26" s="71">
        <v>44561</v>
      </c>
      <c r="G26" s="71">
        <v>44926</v>
      </c>
      <c r="H26" s="71">
        <v>45291</v>
      </c>
      <c r="I26" s="71">
        <v>45657</v>
      </c>
      <c r="J26" s="71">
        <v>46022</v>
      </c>
      <c r="K26" s="71">
        <v>46387</v>
      </c>
      <c r="L26" s="71">
        <v>46752</v>
      </c>
    </row>
    <row r="27" spans="2:13" ht="16" thickTop="1">
      <c r="B27" s="34" t="s">
        <v>23</v>
      </c>
      <c r="C27" s="110"/>
      <c r="D27" s="110"/>
      <c r="E27" s="110"/>
      <c r="F27" s="110"/>
      <c r="G27" s="110"/>
      <c r="H27" s="110"/>
      <c r="I27" s="110"/>
      <c r="J27" s="110"/>
      <c r="K27" s="110"/>
      <c r="L27" s="110"/>
    </row>
    <row r="28" spans="2:13">
      <c r="B28" s="32" t="s">
        <v>245</v>
      </c>
      <c r="C28" s="89">
        <f>Input!C158</f>
        <v>0</v>
      </c>
      <c r="D28" s="89">
        <f>Input!D158</f>
        <v>0</v>
      </c>
      <c r="E28" s="89">
        <f>Input!E158</f>
        <v>0</v>
      </c>
      <c r="F28" s="89">
        <f>Input!F158</f>
        <v>0</v>
      </c>
      <c r="G28" s="89">
        <f>Input!G158</f>
        <v>0</v>
      </c>
      <c r="H28" s="89">
        <f ca="1">Input!H158</f>
        <v>118.30055686912874</v>
      </c>
      <c r="I28" s="89">
        <f ca="1">Input!I158</f>
        <v>196.83734125247338</v>
      </c>
      <c r="J28" s="89">
        <f ca="1">Input!J158</f>
        <v>368.39136868255355</v>
      </c>
      <c r="K28" s="89">
        <f ca="1">Input!K158</f>
        <v>362.54652117262322</v>
      </c>
      <c r="L28" s="89">
        <f ca="1">Input!L158</f>
        <v>431.45199987449087</v>
      </c>
      <c r="M28" s="101"/>
    </row>
    <row r="29" spans="2:13">
      <c r="B29" s="32" t="s">
        <v>287</v>
      </c>
      <c r="C29" s="89">
        <v>167.2</v>
      </c>
      <c r="D29" s="89">
        <v>174.9</v>
      </c>
      <c r="E29" s="89">
        <v>245.7</v>
      </c>
      <c r="F29" s="89">
        <v>236.2</v>
      </c>
      <c r="G29" s="89">
        <v>230.1</v>
      </c>
      <c r="H29" s="89">
        <v>270.52257148506277</v>
      </c>
      <c r="I29" s="89">
        <v>292.02116058643378</v>
      </c>
      <c r="J29" s="89">
        <v>317.57074307207102</v>
      </c>
      <c r="K29" s="89">
        <v>327.56313618164739</v>
      </c>
      <c r="L29" s="89">
        <v>343.39122542724419</v>
      </c>
      <c r="M29" s="101"/>
    </row>
    <row r="30" spans="2:13">
      <c r="B30" s="32" t="s">
        <v>261</v>
      </c>
      <c r="C30" s="89">
        <v>714.3</v>
      </c>
      <c r="D30" s="89">
        <v>741.8</v>
      </c>
      <c r="E30" s="89">
        <v>769.4</v>
      </c>
      <c r="F30" s="89">
        <v>900.2</v>
      </c>
      <c r="G30" s="89">
        <v>1013.2</v>
      </c>
      <c r="H30" s="89">
        <v>1060.0634817673745</v>
      </c>
      <c r="I30" s="89">
        <v>1125.5143434373492</v>
      </c>
      <c r="J30" s="89">
        <v>1202.6857081187011</v>
      </c>
      <c r="K30" s="89">
        <v>1291.438344177833</v>
      </c>
      <c r="L30" s="89">
        <v>1363.6385566805661</v>
      </c>
      <c r="M30" s="101"/>
    </row>
    <row r="31" spans="2:13">
      <c r="B31" s="32" t="s">
        <v>28</v>
      </c>
      <c r="C31" s="89">
        <v>1278.7</v>
      </c>
      <c r="D31" s="89">
        <v>1366.4</v>
      </c>
      <c r="E31" s="89">
        <v>1337.5</v>
      </c>
      <c r="F31" s="89">
        <v>1523.6</v>
      </c>
      <c r="G31" s="89">
        <v>1708</v>
      </c>
      <c r="H31" s="89">
        <v>1855.4231800699527</v>
      </c>
      <c r="I31" s="89">
        <v>1946.8652273911589</v>
      </c>
      <c r="J31" s="89">
        <v>2049.4951994227677</v>
      </c>
      <c r="K31" s="89">
        <v>2201.0901525427357</v>
      </c>
      <c r="L31" s="89">
        <v>2330.9510731616469</v>
      </c>
      <c r="M31" s="101"/>
    </row>
    <row r="32" spans="2:13">
      <c r="B32" s="32" t="s">
        <v>264</v>
      </c>
      <c r="C32" s="89">
        <v>156</v>
      </c>
      <c r="D32" s="89">
        <v>174.1</v>
      </c>
      <c r="E32" s="89">
        <v>147</v>
      </c>
      <c r="F32" s="89">
        <v>196.6</v>
      </c>
      <c r="G32" s="89">
        <v>173.5</v>
      </c>
      <c r="H32" s="89">
        <v>219.18974892597899</v>
      </c>
      <c r="I32" s="89">
        <v>233.06446003299342</v>
      </c>
      <c r="J32" s="89">
        <v>247.81744035308188</v>
      </c>
      <c r="K32" s="89">
        <v>263.50428432743195</v>
      </c>
      <c r="L32" s="89">
        <v>280.18410552535835</v>
      </c>
      <c r="M32" s="101"/>
    </row>
    <row r="33" spans="2:13">
      <c r="B33" s="107" t="s">
        <v>290</v>
      </c>
      <c r="C33" s="118">
        <f>SUM(C28:C32)</f>
        <v>2316.1999999999998</v>
      </c>
      <c r="D33" s="118">
        <f t="shared" ref="D33:L33" si="6">SUM(D28:D32)</f>
        <v>2457.1999999999998</v>
      </c>
      <c r="E33" s="118">
        <f t="shared" si="6"/>
        <v>2499.6</v>
      </c>
      <c r="F33" s="118">
        <f t="shared" si="6"/>
        <v>2856.6</v>
      </c>
      <c r="G33" s="118">
        <f t="shared" si="6"/>
        <v>3124.8</v>
      </c>
      <c r="H33" s="118">
        <f t="shared" ca="1" si="6"/>
        <v>3523.499539117498</v>
      </c>
      <c r="I33" s="118">
        <f t="shared" ca="1" si="6"/>
        <v>3794.3025327004088</v>
      </c>
      <c r="J33" s="118">
        <f t="shared" ca="1" si="6"/>
        <v>4185.9604596491754</v>
      </c>
      <c r="K33" s="118">
        <f t="shared" ca="1" si="6"/>
        <v>4446.1424384022712</v>
      </c>
      <c r="L33" s="118">
        <f t="shared" ca="1" si="6"/>
        <v>4749.6169606693065</v>
      </c>
      <c r="M33" s="101"/>
    </row>
    <row r="34" spans="2:13">
      <c r="C34" s="134"/>
      <c r="D34" s="134"/>
      <c r="E34" s="134"/>
      <c r="F34" s="134"/>
      <c r="G34" s="134"/>
      <c r="H34" s="89"/>
      <c r="I34" s="89"/>
      <c r="J34" s="89"/>
      <c r="K34" s="89"/>
      <c r="L34" s="89"/>
      <c r="M34" s="101"/>
    </row>
    <row r="35" spans="2:13">
      <c r="B35" s="32" t="s">
        <v>266</v>
      </c>
      <c r="C35" s="89">
        <v>1746.2</v>
      </c>
      <c r="D35" s="89">
        <v>2210.1</v>
      </c>
      <c r="E35" s="89">
        <v>2327.6</v>
      </c>
      <c r="F35" s="89">
        <v>2439.5</v>
      </c>
      <c r="G35" s="89">
        <v>2554.4</v>
      </c>
      <c r="H35" s="89">
        <v>2713.6855299000003</v>
      </c>
      <c r="I35" s="89">
        <v>2922.5154061243402</v>
      </c>
      <c r="J35" s="89">
        <v>3186.5237033207804</v>
      </c>
      <c r="K35" s="89">
        <v>3511.8592512416449</v>
      </c>
      <c r="L35" s="89">
        <v>3905.2282276226915</v>
      </c>
      <c r="M35" s="101"/>
    </row>
    <row r="36" spans="2:13">
      <c r="B36" s="32" t="s">
        <v>268</v>
      </c>
      <c r="C36" s="89">
        <v>821.4</v>
      </c>
      <c r="D36" s="89">
        <v>943.7</v>
      </c>
      <c r="E36" s="89">
        <v>1053.9000000000001</v>
      </c>
      <c r="F36" s="89">
        <v>1178</v>
      </c>
      <c r="G36" s="89">
        <v>1301.4000000000001</v>
      </c>
      <c r="H36" s="89">
        <v>1485.8754924323944</v>
      </c>
      <c r="I36" s="89">
        <v>1681.8543815785599</v>
      </c>
      <c r="J36" s="89">
        <v>1892.9146965981522</v>
      </c>
      <c r="K36" s="89">
        <v>2123.0413522971803</v>
      </c>
      <c r="L36" s="89">
        <v>2376.6633240815768</v>
      </c>
      <c r="M36" s="101"/>
    </row>
    <row r="37" spans="2:13">
      <c r="B37" s="32" t="s">
        <v>270</v>
      </c>
      <c r="C37" s="89">
        <v>80.5</v>
      </c>
      <c r="D37" s="89">
        <v>76.3</v>
      </c>
      <c r="E37" s="89">
        <v>191.4</v>
      </c>
      <c r="F37" s="89">
        <v>180.9</v>
      </c>
      <c r="G37" s="89">
        <v>170.8</v>
      </c>
      <c r="H37" s="89">
        <v>218.85267527890895</v>
      </c>
      <c r="I37" s="89">
        <v>232.70604962406387</v>
      </c>
      <c r="J37" s="89">
        <v>247.43634256526707</v>
      </c>
      <c r="K37" s="89">
        <v>263.09906304964846</v>
      </c>
      <c r="L37" s="89">
        <v>279.7532337406912</v>
      </c>
      <c r="M37" s="101"/>
    </row>
    <row r="38" spans="2:13">
      <c r="B38" s="34" t="s">
        <v>271</v>
      </c>
      <c r="C38" s="118">
        <f>C33+C35-C36+C37</f>
        <v>3321.4999999999995</v>
      </c>
      <c r="D38" s="118">
        <f t="shared" ref="D38:L38" si="7">D33+D35-D36+D37</f>
        <v>3799.8999999999996</v>
      </c>
      <c r="E38" s="118">
        <f t="shared" si="7"/>
        <v>3964.7</v>
      </c>
      <c r="F38" s="118">
        <f t="shared" si="7"/>
        <v>4299</v>
      </c>
      <c r="G38" s="118">
        <f t="shared" si="7"/>
        <v>4548.6000000000013</v>
      </c>
      <c r="H38" s="118">
        <f t="shared" ca="1" si="7"/>
        <v>4970.1622518640124</v>
      </c>
      <c r="I38" s="118">
        <f t="shared" ca="1" si="7"/>
        <v>5267.6696068702531</v>
      </c>
      <c r="J38" s="118">
        <f t="shared" ca="1" si="7"/>
        <v>5727.0058089370714</v>
      </c>
      <c r="K38" s="118">
        <f t="shared" ca="1" si="7"/>
        <v>6098.0594003963834</v>
      </c>
      <c r="L38" s="118">
        <f t="shared" ca="1" si="7"/>
        <v>6557.9350979511119</v>
      </c>
      <c r="M38" s="101"/>
    </row>
    <row r="39" spans="2:13">
      <c r="C39" s="114"/>
      <c r="D39" s="114"/>
      <c r="E39" s="114"/>
      <c r="F39" s="114"/>
      <c r="G39" s="114"/>
      <c r="H39" s="114"/>
      <c r="I39" s="114"/>
      <c r="J39" s="114"/>
      <c r="K39" s="114"/>
      <c r="L39" s="114"/>
      <c r="M39" s="101"/>
    </row>
    <row r="40" spans="2:13">
      <c r="B40" s="34" t="s">
        <v>36</v>
      </c>
      <c r="C40" s="89"/>
      <c r="D40" s="89"/>
      <c r="E40" s="89"/>
      <c r="F40" s="89"/>
      <c r="G40" s="89"/>
      <c r="H40" s="89"/>
      <c r="I40" s="89"/>
      <c r="J40" s="89"/>
      <c r="K40" s="89"/>
      <c r="L40" s="89"/>
      <c r="M40" s="101"/>
    </row>
    <row r="41" spans="2:13">
      <c r="B41" s="32" t="s">
        <v>272</v>
      </c>
      <c r="C41" s="89">
        <v>193.6</v>
      </c>
      <c r="D41" s="89">
        <v>192.8</v>
      </c>
      <c r="E41" s="89">
        <v>207</v>
      </c>
      <c r="F41" s="89">
        <v>233.1</v>
      </c>
      <c r="G41" s="89">
        <v>255</v>
      </c>
      <c r="H41" s="89">
        <v>277.9559725126968</v>
      </c>
      <c r="I41" s="89">
        <v>290.98322456413359</v>
      </c>
      <c r="J41" s="89">
        <v>309.95678634790772</v>
      </c>
      <c r="K41" s="89">
        <v>331.42170625439257</v>
      </c>
      <c r="L41" s="89">
        <v>349.81878199187832</v>
      </c>
      <c r="M41" s="101"/>
    </row>
    <row r="42" spans="2:13">
      <c r="B42" s="36" t="s">
        <v>38</v>
      </c>
      <c r="C42" s="135">
        <v>240.8</v>
      </c>
      <c r="D42" s="135">
        <v>251.5</v>
      </c>
      <c r="E42" s="135">
        <v>272.10000000000002</v>
      </c>
      <c r="F42" s="135">
        <v>298.3</v>
      </c>
      <c r="G42" s="135">
        <v>241.1</v>
      </c>
      <c r="H42" s="135">
        <v>338.46314173795139</v>
      </c>
      <c r="I42" s="135">
        <v>359.88785860996364</v>
      </c>
      <c r="J42" s="135">
        <v>382.66876005997432</v>
      </c>
      <c r="K42" s="135">
        <v>406.8916925717707</v>
      </c>
      <c r="L42" s="135">
        <v>432.64793671156372</v>
      </c>
      <c r="M42" s="101"/>
    </row>
    <row r="43" spans="2:13">
      <c r="B43" s="36" t="s">
        <v>39</v>
      </c>
      <c r="C43" s="89">
        <v>3</v>
      </c>
      <c r="D43" s="89">
        <v>100.4</v>
      </c>
      <c r="E43" s="89">
        <v>133.6</v>
      </c>
      <c r="F43" s="89">
        <v>150.80000000000001</v>
      </c>
      <c r="G43" s="89">
        <v>293.70000000000005</v>
      </c>
      <c r="H43" s="89">
        <v>163.66068368013845</v>
      </c>
      <c r="I43" s="89">
        <v>174.02040495709119</v>
      </c>
      <c r="J43" s="89">
        <v>185.03589659087504</v>
      </c>
      <c r="K43" s="89">
        <v>196.74866884507742</v>
      </c>
      <c r="L43" s="89">
        <v>209.2028595829708</v>
      </c>
      <c r="M43" s="101"/>
    </row>
    <row r="44" spans="2:13">
      <c r="B44" s="34" t="s">
        <v>291</v>
      </c>
      <c r="C44" s="118">
        <f>SUM(C41:C43)</f>
        <v>437.4</v>
      </c>
      <c r="D44" s="118">
        <f t="shared" ref="D44:L44" si="8">SUM(D41:D43)</f>
        <v>544.70000000000005</v>
      </c>
      <c r="E44" s="118">
        <f t="shared" si="8"/>
        <v>612.70000000000005</v>
      </c>
      <c r="F44" s="118">
        <f t="shared" si="8"/>
        <v>682.2</v>
      </c>
      <c r="G44" s="118">
        <f t="shared" si="8"/>
        <v>789.80000000000007</v>
      </c>
      <c r="H44" s="118">
        <f t="shared" si="8"/>
        <v>780.07979793078653</v>
      </c>
      <c r="I44" s="118">
        <f t="shared" si="8"/>
        <v>824.89148813118845</v>
      </c>
      <c r="J44" s="118">
        <f t="shared" si="8"/>
        <v>877.66144299875702</v>
      </c>
      <c r="K44" s="118">
        <f t="shared" si="8"/>
        <v>935.0620676712407</v>
      </c>
      <c r="L44" s="118">
        <f t="shared" si="8"/>
        <v>991.66957828641284</v>
      </c>
      <c r="M44" s="101"/>
    </row>
    <row r="45" spans="2:13">
      <c r="B45"/>
      <c r="C45" s="118"/>
      <c r="D45" s="118"/>
      <c r="E45" s="118"/>
      <c r="F45" s="118"/>
      <c r="G45" s="118"/>
      <c r="H45" s="118"/>
      <c r="I45" s="118"/>
      <c r="J45" s="118"/>
      <c r="K45" s="118"/>
      <c r="L45" s="118"/>
      <c r="M45" s="101"/>
    </row>
    <row r="46" spans="2:13">
      <c r="B46" s="32" t="s">
        <v>248</v>
      </c>
      <c r="C46" s="136">
        <v>497</v>
      </c>
      <c r="D46" s="136">
        <v>490.2</v>
      </c>
      <c r="E46" s="136">
        <v>516.5</v>
      </c>
      <c r="F46" s="136">
        <v>486</v>
      </c>
      <c r="G46" s="136">
        <v>508.4</v>
      </c>
      <c r="H46" s="136">
        <v>511.832806575603</v>
      </c>
      <c r="I46" s="136">
        <v>515.2887920673852</v>
      </c>
      <c r="J46" s="136">
        <v>518.76811298348173</v>
      </c>
      <c r="K46" s="136">
        <v>522.27092688879816</v>
      </c>
      <c r="L46" s="136">
        <v>525.79739241214622</v>
      </c>
      <c r="M46" s="101"/>
    </row>
    <row r="47" spans="2:13">
      <c r="B47" s="36" t="s">
        <v>46</v>
      </c>
      <c r="C47" s="136">
        <v>84.4</v>
      </c>
      <c r="D47" s="136">
        <v>99.4</v>
      </c>
      <c r="E47" s="136">
        <v>102.3</v>
      </c>
      <c r="F47" s="136">
        <v>88.6</v>
      </c>
      <c r="G47" s="136">
        <v>83.7</v>
      </c>
      <c r="H47" s="136">
        <v>119.47208406176097</v>
      </c>
      <c r="I47" s="136">
        <v>127.03466698287043</v>
      </c>
      <c r="J47" s="136">
        <v>135.07596140288612</v>
      </c>
      <c r="K47" s="136">
        <v>143.6262697596888</v>
      </c>
      <c r="L47" s="136">
        <v>152.71781263547709</v>
      </c>
      <c r="M47" s="101"/>
    </row>
    <row r="48" spans="2:13">
      <c r="B48" s="32" t="s">
        <v>276</v>
      </c>
      <c r="C48" s="89">
        <v>0</v>
      </c>
      <c r="D48" s="89">
        <v>0</v>
      </c>
      <c r="E48" s="89">
        <v>0</v>
      </c>
      <c r="F48" s="89">
        <v>0</v>
      </c>
      <c r="G48" s="89">
        <v>3.5</v>
      </c>
      <c r="H48" s="89">
        <v>3.5</v>
      </c>
      <c r="I48" s="89">
        <v>3.5</v>
      </c>
      <c r="J48" s="89">
        <v>3.5</v>
      </c>
      <c r="K48" s="89">
        <v>3.5</v>
      </c>
      <c r="L48" s="89">
        <v>3.5</v>
      </c>
      <c r="M48" s="101"/>
    </row>
    <row r="49" spans="1:13">
      <c r="B49" s="34" t="s">
        <v>48</v>
      </c>
      <c r="C49" s="137">
        <f>SUM(C44,C46:C48)</f>
        <v>1018.8</v>
      </c>
      <c r="D49" s="137">
        <f t="shared" ref="D49:L49" si="9">SUM(D44,D46:D48)</f>
        <v>1134.3000000000002</v>
      </c>
      <c r="E49" s="137">
        <f t="shared" si="9"/>
        <v>1231.5</v>
      </c>
      <c r="F49" s="137">
        <f t="shared" si="9"/>
        <v>1256.8</v>
      </c>
      <c r="G49" s="137">
        <f t="shared" si="9"/>
        <v>1385.4</v>
      </c>
      <c r="H49" s="137">
        <f t="shared" si="9"/>
        <v>1414.8846885681505</v>
      </c>
      <c r="I49" s="137">
        <f t="shared" si="9"/>
        <v>1470.7149471814441</v>
      </c>
      <c r="J49" s="137">
        <f t="shared" si="9"/>
        <v>1535.0055173851249</v>
      </c>
      <c r="K49" s="137">
        <f t="shared" si="9"/>
        <v>1604.4592643197277</v>
      </c>
      <c r="L49" s="137">
        <f t="shared" si="9"/>
        <v>1673.6847833340362</v>
      </c>
      <c r="M49" s="137"/>
    </row>
    <row r="50" spans="1:13">
      <c r="C50" s="50"/>
      <c r="D50" s="50"/>
      <c r="E50" s="50"/>
      <c r="F50" s="50"/>
      <c r="G50" s="50"/>
      <c r="H50" s="50"/>
      <c r="I50" s="50"/>
      <c r="J50" s="50"/>
      <c r="K50" s="50"/>
      <c r="L50" s="50"/>
    </row>
    <row r="51" spans="1:13">
      <c r="B51" s="34" t="s">
        <v>278</v>
      </c>
      <c r="C51" s="108"/>
      <c r="D51" s="108"/>
      <c r="E51" s="108"/>
      <c r="F51" s="108"/>
      <c r="G51" s="108"/>
      <c r="H51" s="108"/>
      <c r="I51" s="108"/>
      <c r="J51" s="108"/>
      <c r="K51" s="108"/>
      <c r="L51" s="108"/>
    </row>
    <row r="52" spans="1:13">
      <c r="B52" s="32" t="s">
        <v>279</v>
      </c>
      <c r="C52" s="89">
        <v>2.9</v>
      </c>
      <c r="D52" s="89">
        <v>2.9</v>
      </c>
      <c r="E52" s="89">
        <v>5.7</v>
      </c>
      <c r="F52" s="89">
        <v>5.8</v>
      </c>
      <c r="G52" s="89">
        <v>5.7</v>
      </c>
      <c r="H52" s="89">
        <v>5.8140000000000001</v>
      </c>
      <c r="I52" s="89">
        <v>5.9302799999999998</v>
      </c>
      <c r="J52" s="89">
        <v>6.0488856000000002</v>
      </c>
      <c r="K52" s="89">
        <v>6.1698633120000004</v>
      </c>
      <c r="L52" s="89">
        <v>6.2932605782400008</v>
      </c>
    </row>
    <row r="53" spans="1:13">
      <c r="B53" s="36" t="s">
        <v>50</v>
      </c>
      <c r="C53" s="89">
        <v>3</v>
      </c>
      <c r="D53" s="89">
        <v>67.2</v>
      </c>
      <c r="E53" s="89">
        <v>59.1</v>
      </c>
      <c r="F53" s="89">
        <v>96.2</v>
      </c>
      <c r="G53" s="89">
        <v>3.6</v>
      </c>
      <c r="H53" s="89">
        <v>3.6289357223098215</v>
      </c>
      <c r="I53" s="89">
        <v>3.6581040212934179</v>
      </c>
      <c r="J53" s="89">
        <v>3.6875067663324699</v>
      </c>
      <c r="K53" s="89">
        <v>3.7171458418341876</v>
      </c>
      <c r="L53" s="89">
        <v>3.7470231473520821</v>
      </c>
    </row>
    <row r="54" spans="1:13">
      <c r="B54" s="32" t="s">
        <v>280</v>
      </c>
      <c r="C54" s="89">
        <f>Input!C147</f>
        <v>2341.6</v>
      </c>
      <c r="D54" s="89">
        <f>Input!D147</f>
        <v>2633.9</v>
      </c>
      <c r="E54" s="89">
        <f>Input!E147</f>
        <v>2689.6</v>
      </c>
      <c r="F54" s="89">
        <f>Input!F147</f>
        <v>2970.9</v>
      </c>
      <c r="G54" s="89">
        <f>Input!G147</f>
        <v>3218.7</v>
      </c>
      <c r="H54" s="89">
        <f ca="1">Input!H147</f>
        <v>3582.0069309350301</v>
      </c>
      <c r="I54" s="89">
        <f ca="1">Input!I147</f>
        <v>3814.9863211440133</v>
      </c>
      <c r="J54" s="89">
        <f ca="1">Input!J147</f>
        <v>4175.6730068067027</v>
      </c>
      <c r="K54" s="89">
        <f ca="1">Input!K147</f>
        <v>4395.623648569619</v>
      </c>
      <c r="L54" s="89">
        <f ca="1">Input!L147</f>
        <v>4729.070901073821</v>
      </c>
    </row>
    <row r="55" spans="1:13">
      <c r="B55" s="36" t="s">
        <v>53</v>
      </c>
      <c r="C55" s="89">
        <v>-44.8</v>
      </c>
      <c r="D55" s="89">
        <v>-38.4</v>
      </c>
      <c r="E55" s="89">
        <v>-21.2</v>
      </c>
      <c r="F55" s="89">
        <v>-30.7</v>
      </c>
      <c r="G55" s="89">
        <v>-64.8</v>
      </c>
      <c r="H55" s="89">
        <v>-51.017247321474194</v>
      </c>
      <c r="I55" s="89">
        <v>-54.246639076923501</v>
      </c>
      <c r="J55" s="89">
        <v>-57.680451330492751</v>
      </c>
      <c r="K55" s="89">
        <v>-61.331623899712945</v>
      </c>
      <c r="L55" s="89">
        <v>-65.213915692564768</v>
      </c>
    </row>
    <row r="56" spans="1:13">
      <c r="B56" s="34" t="s">
        <v>282</v>
      </c>
      <c r="C56" s="118">
        <f>SUM(C52:C55)</f>
        <v>2302.6999999999998</v>
      </c>
      <c r="D56" s="118">
        <f t="shared" ref="D56:L56" si="10">SUM(D52:D55)</f>
        <v>2665.6</v>
      </c>
      <c r="E56" s="118">
        <f t="shared" si="10"/>
        <v>2733.2000000000003</v>
      </c>
      <c r="F56" s="118">
        <f t="shared" si="10"/>
        <v>3042.2000000000003</v>
      </c>
      <c r="G56" s="118">
        <f t="shared" si="10"/>
        <v>3163.2</v>
      </c>
      <c r="H56" s="118">
        <f t="shared" ca="1" si="10"/>
        <v>3540.4326193358656</v>
      </c>
      <c r="I56" s="118">
        <f t="shared" ca="1" si="10"/>
        <v>3770.3280660883829</v>
      </c>
      <c r="J56" s="118">
        <f t="shared" ca="1" si="10"/>
        <v>4127.7289478425428</v>
      </c>
      <c r="K56" s="118">
        <f t="shared" ca="1" si="10"/>
        <v>4344.1790338237397</v>
      </c>
      <c r="L56" s="118">
        <f t="shared" ca="1" si="10"/>
        <v>4673.8972691068484</v>
      </c>
    </row>
    <row r="57" spans="1:13">
      <c r="B57" s="34" t="s">
        <v>283</v>
      </c>
      <c r="C57" s="118">
        <f>C49+C56</f>
        <v>3321.5</v>
      </c>
      <c r="D57" s="118">
        <f t="shared" ref="D57:L57" si="11">D49+D56</f>
        <v>3799.9</v>
      </c>
      <c r="E57" s="118">
        <f t="shared" si="11"/>
        <v>3964.7000000000003</v>
      </c>
      <c r="F57" s="118">
        <f t="shared" si="11"/>
        <v>4299</v>
      </c>
      <c r="G57" s="118">
        <f t="shared" si="11"/>
        <v>4548.6000000000004</v>
      </c>
      <c r="H57" s="118">
        <f t="shared" ca="1" si="11"/>
        <v>4955.3173079040162</v>
      </c>
      <c r="I57" s="118">
        <f t="shared" ca="1" si="11"/>
        <v>5241.0430132698275</v>
      </c>
      <c r="J57" s="118">
        <f t="shared" ca="1" si="11"/>
        <v>5662.7344652276679</v>
      </c>
      <c r="K57" s="118">
        <f t="shared" ca="1" si="11"/>
        <v>5948.6382981434672</v>
      </c>
      <c r="L57" s="118">
        <f t="shared" ca="1" si="11"/>
        <v>6347.5820524408846</v>
      </c>
    </row>
    <row r="58" spans="1:13">
      <c r="C58" s="50"/>
      <c r="D58" s="50"/>
      <c r="E58" s="50"/>
      <c r="F58" s="50"/>
      <c r="G58" s="50"/>
      <c r="H58" s="50"/>
      <c r="I58" s="50"/>
      <c r="J58" s="50"/>
      <c r="K58" s="50"/>
      <c r="L58" s="50"/>
    </row>
    <row r="59" spans="1:13">
      <c r="B59" s="111"/>
      <c r="C59" s="50"/>
      <c r="D59" s="50"/>
      <c r="E59" s="50"/>
      <c r="F59" s="50"/>
      <c r="G59" s="50"/>
      <c r="H59" s="110"/>
      <c r="I59" s="110"/>
      <c r="J59" s="110"/>
      <c r="K59" s="110"/>
      <c r="L59" s="110"/>
    </row>
    <row r="60" spans="1:13" ht="16" thickBot="1">
      <c r="B60" s="34" t="s">
        <v>292</v>
      </c>
      <c r="C60" s="71">
        <v>43465</v>
      </c>
      <c r="D60" s="71">
        <v>43830</v>
      </c>
      <c r="E60" s="71">
        <v>44196</v>
      </c>
      <c r="F60" s="71">
        <v>44561</v>
      </c>
      <c r="G60" s="71">
        <v>44926</v>
      </c>
      <c r="H60" s="71">
        <v>45291</v>
      </c>
      <c r="I60" s="71">
        <v>45657</v>
      </c>
      <c r="J60" s="71">
        <v>46022</v>
      </c>
      <c r="K60" s="71">
        <v>46387</v>
      </c>
      <c r="L60" s="71">
        <v>46752</v>
      </c>
    </row>
    <row r="61" spans="1:13" ht="16" thickTop="1">
      <c r="A61" s="32" t="s">
        <v>293</v>
      </c>
      <c r="B61" s="105" t="s">
        <v>294</v>
      </c>
      <c r="C61" s="112">
        <f>C33/C44</f>
        <v>5.2953818015546412</v>
      </c>
      <c r="D61" s="112">
        <f t="shared" ref="D61:L61" si="12">D33/D44</f>
        <v>4.5111070313934265</v>
      </c>
      <c r="E61" s="112">
        <f t="shared" si="12"/>
        <v>4.0796474620532068</v>
      </c>
      <c r="F61" s="112">
        <f t="shared" si="12"/>
        <v>4.1873350923482846</v>
      </c>
      <c r="G61" s="112">
        <f t="shared" si="12"/>
        <v>3.9564446695365914</v>
      </c>
      <c r="H61" s="112">
        <f t="shared" ca="1" si="12"/>
        <v>4.5168450054261298</v>
      </c>
      <c r="I61" s="112">
        <f t="shared" ca="1" si="12"/>
        <v>4.5997595893448882</v>
      </c>
      <c r="J61" s="112">
        <f t="shared" ca="1" si="12"/>
        <v>4.7694478241481821</v>
      </c>
      <c r="K61" s="112">
        <f t="shared" ca="1" si="12"/>
        <v>4.7549169109975002</v>
      </c>
      <c r="L61" s="112">
        <f t="shared" ca="1" si="12"/>
        <v>4.7895156458026662</v>
      </c>
      <c r="M61" s="82"/>
    </row>
    <row r="62" spans="1:13">
      <c r="B62" s="105" t="s">
        <v>295</v>
      </c>
      <c r="C62" s="112">
        <f>(C28+C29+C30)/C44</f>
        <v>2.0153177869227252</v>
      </c>
      <c r="D62" s="112">
        <f t="shared" ref="D62:L62" si="13">(D28+D29+D30)/D44</f>
        <v>1.6829447402239763</v>
      </c>
      <c r="E62" s="112">
        <f t="shared" si="13"/>
        <v>1.6567651379141501</v>
      </c>
      <c r="F62" s="112">
        <f t="shared" si="13"/>
        <v>1.6657871591908531</v>
      </c>
      <c r="G62" s="112">
        <f t="shared" si="13"/>
        <v>1.5741959989870851</v>
      </c>
      <c r="H62" s="112">
        <f t="shared" ca="1" si="13"/>
        <v>1.8573569190803736</v>
      </c>
      <c r="I62" s="112">
        <f t="shared" ca="1" si="13"/>
        <v>1.9570729829370126</v>
      </c>
      <c r="J62" s="112">
        <f t="shared" ca="1" si="13"/>
        <v>2.1519092982144374</v>
      </c>
      <c r="K62" s="112">
        <f t="shared" ca="1" si="13"/>
        <v>2.1191620000874614</v>
      </c>
      <c r="L62" s="112">
        <f t="shared" ca="1" si="13"/>
        <v>2.1564458856119786</v>
      </c>
    </row>
    <row r="63" spans="1:13">
      <c r="B63" s="105" t="s">
        <v>296</v>
      </c>
      <c r="C63" s="112">
        <f>(C28+C29)/C44</f>
        <v>0.38225880201188844</v>
      </c>
      <c r="D63" s="112">
        <f t="shared" ref="D63:L63" si="14">(D28+D29)/D44</f>
        <v>0.32109418028272441</v>
      </c>
      <c r="E63" s="112">
        <f t="shared" si="14"/>
        <v>0.40101191447690543</v>
      </c>
      <c r="F63" s="112">
        <f t="shared" si="14"/>
        <v>0.34623277631193194</v>
      </c>
      <c r="G63" s="112">
        <f t="shared" si="14"/>
        <v>0.29133957964041524</v>
      </c>
      <c r="H63" s="112">
        <f t="shared" ca="1" si="14"/>
        <v>0.49844019725362798</v>
      </c>
      <c r="I63" s="112">
        <f t="shared" ca="1" si="14"/>
        <v>0.59263370864260934</v>
      </c>
      <c r="J63" s="112">
        <f t="shared" ca="1" si="14"/>
        <v>0.7815794088103698</v>
      </c>
      <c r="K63" s="112">
        <f t="shared" ca="1" si="14"/>
        <v>0.73803620231647227</v>
      </c>
      <c r="L63" s="112">
        <f t="shared" ca="1" si="14"/>
        <v>0.78135221879111205</v>
      </c>
    </row>
    <row r="64" spans="1:13">
      <c r="A64" s="105" t="s">
        <v>297</v>
      </c>
      <c r="B64" s="105" t="s">
        <v>298</v>
      </c>
      <c r="C64" s="112">
        <f>C5/C31</f>
        <v>1.8988034722765308</v>
      </c>
      <c r="D64" s="112">
        <f t="shared" ref="D64:L64" si="15">D5/D31</f>
        <v>1.9537470725995318</v>
      </c>
      <c r="E64" s="112">
        <f t="shared" si="15"/>
        <v>2.1810093457943927</v>
      </c>
      <c r="F64" s="112">
        <f t="shared" si="15"/>
        <v>2.0103701758991863</v>
      </c>
      <c r="G64" s="112">
        <f t="shared" si="15"/>
        <v>2.1008196721311476</v>
      </c>
      <c r="H64" s="112">
        <f t="shared" si="15"/>
        <v>2.02395287908374</v>
      </c>
      <c r="I64" s="112">
        <f t="shared" si="15"/>
        <v>2.050988856477292</v>
      </c>
      <c r="J64" s="112">
        <f t="shared" si="15"/>
        <v>2.071610471276049</v>
      </c>
      <c r="K64" s="112">
        <f t="shared" si="15"/>
        <v>2.051034596451609</v>
      </c>
      <c r="L64" s="112">
        <f t="shared" si="15"/>
        <v>2.0593656902475059</v>
      </c>
    </row>
    <row r="65" spans="1:13">
      <c r="B65" s="105" t="s">
        <v>299</v>
      </c>
      <c r="C65" s="112">
        <f>C30/(C4/365)</f>
        <v>52.510422750800579</v>
      </c>
      <c r="D65" s="112">
        <f t="shared" ref="D65:L65" si="16">D30/(D4/365)</f>
        <v>50.763447512983483</v>
      </c>
      <c r="E65" s="112">
        <f t="shared" si="16"/>
        <v>49.728365767711999</v>
      </c>
      <c r="F65" s="112">
        <f t="shared" si="16"/>
        <v>54.662862466519165</v>
      </c>
      <c r="G65" s="112">
        <f t="shared" si="16"/>
        <v>52.977967509956166</v>
      </c>
      <c r="H65" s="112">
        <f t="shared" si="16"/>
        <v>52.128613201594291</v>
      </c>
      <c r="I65" s="112">
        <f t="shared" si="16"/>
        <v>52.052251291753031</v>
      </c>
      <c r="J65" s="112">
        <f t="shared" si="16"/>
        <v>52.31001204750693</v>
      </c>
      <c r="K65" s="112">
        <f t="shared" si="16"/>
        <v>52.826341303465917</v>
      </c>
      <c r="L65" s="112">
        <f t="shared" si="16"/>
        <v>52.459037070855274</v>
      </c>
    </row>
    <row r="66" spans="1:13">
      <c r="B66" s="105" t="s">
        <v>300</v>
      </c>
      <c r="C66" s="112">
        <f>C41/(C5/365)</f>
        <v>29.103789126853378</v>
      </c>
      <c r="D66" s="112">
        <f t="shared" ref="D66:L66" si="17">D41/(D5/365)</f>
        <v>26.360503446209169</v>
      </c>
      <c r="E66" s="112">
        <f t="shared" si="17"/>
        <v>25.900723321106579</v>
      </c>
      <c r="F66" s="112">
        <f t="shared" si="17"/>
        <v>27.777179236043096</v>
      </c>
      <c r="G66" s="112">
        <f t="shared" si="17"/>
        <v>25.939189565799005</v>
      </c>
      <c r="H66" s="112">
        <f t="shared" si="17"/>
        <v>27.016276939202239</v>
      </c>
      <c r="I66" s="112">
        <f t="shared" si="17"/>
        <v>26.598774501672018</v>
      </c>
      <c r="J66" s="112">
        <f t="shared" si="17"/>
        <v>26.646428712764578</v>
      </c>
      <c r="K66" s="112">
        <f t="shared" si="17"/>
        <v>26.795569791096181</v>
      </c>
      <c r="L66" s="112">
        <f t="shared" si="17"/>
        <v>26.599247902106804</v>
      </c>
    </row>
    <row r="67" spans="1:13">
      <c r="B67" s="32" t="s">
        <v>301</v>
      </c>
      <c r="C67" s="112">
        <f>C4/C38</f>
        <v>1.4948366701791362</v>
      </c>
      <c r="D67" s="112">
        <f t="shared" ref="D67:L67" si="18">D4/D38</f>
        <v>1.4036422011105556</v>
      </c>
      <c r="E67" s="112">
        <f t="shared" si="18"/>
        <v>1.4243952884203093</v>
      </c>
      <c r="F67" s="112">
        <f t="shared" si="18"/>
        <v>1.3982088857873924</v>
      </c>
      <c r="G67" s="112">
        <f t="shared" si="18"/>
        <v>1.5346700083542186</v>
      </c>
      <c r="H67" s="112">
        <f t="shared" ca="1" si="18"/>
        <v>1.4934063726423159</v>
      </c>
      <c r="I67" s="112">
        <f t="shared" ca="1" si="18"/>
        <v>1.4982554042570559</v>
      </c>
      <c r="J67" s="112">
        <f t="shared" ca="1" si="18"/>
        <v>1.4653203159536292</v>
      </c>
      <c r="K67" s="112">
        <f t="shared" ca="1" si="18"/>
        <v>1.4632696266943228</v>
      </c>
      <c r="L67" s="112">
        <f t="shared" ca="1" si="18"/>
        <v>1.4467873673105796</v>
      </c>
      <c r="M67" s="112"/>
    </row>
    <row r="68" spans="1:13">
      <c r="A68" s="32" t="s">
        <v>302</v>
      </c>
      <c r="B68" s="105" t="s">
        <v>303</v>
      </c>
      <c r="C68" s="112">
        <f>C49/C56</f>
        <v>0.44243713901072657</v>
      </c>
      <c r="D68" s="112">
        <f t="shared" ref="D68:L68" si="19">D49/D56</f>
        <v>0.42553271308523416</v>
      </c>
      <c r="E68" s="112">
        <f t="shared" si="19"/>
        <v>0.45057075954924625</v>
      </c>
      <c r="F68" s="112">
        <f t="shared" si="19"/>
        <v>0.41312208270330675</v>
      </c>
      <c r="G68" s="112">
        <f t="shared" si="19"/>
        <v>0.43797420333839154</v>
      </c>
      <c r="H68" s="112">
        <f t="shared" ca="1" si="19"/>
        <v>0.3996361012043671</v>
      </c>
      <c r="I68" s="112">
        <f t="shared" ca="1" si="19"/>
        <v>0.39007612107008838</v>
      </c>
      <c r="J68" s="112">
        <f t="shared" ca="1" si="19"/>
        <v>0.37187652987423814</v>
      </c>
      <c r="K68" s="112">
        <f t="shared" ca="1" si="19"/>
        <v>0.36933543756540005</v>
      </c>
      <c r="L68" s="112">
        <f t="shared" ca="1" si="19"/>
        <v>0.35809190638327115</v>
      </c>
    </row>
    <row r="69" spans="1:13">
      <c r="B69" s="105" t="s">
        <v>304</v>
      </c>
      <c r="C69" s="113">
        <f>C49/C38</f>
        <v>0.30672888755080541</v>
      </c>
      <c r="D69" s="113">
        <f t="shared" ref="D69:L69" si="20">D49/D38</f>
        <v>0.29850785546988085</v>
      </c>
      <c r="E69" s="113">
        <f t="shared" si="20"/>
        <v>0.3106161878578455</v>
      </c>
      <c r="F69" s="113">
        <f t="shared" si="20"/>
        <v>0.29234705745522216</v>
      </c>
      <c r="G69" s="113">
        <f t="shared" si="20"/>
        <v>0.3045772325550718</v>
      </c>
      <c r="H69" s="113">
        <f t="shared" ca="1" si="20"/>
        <v>0.28467575440570603</v>
      </c>
      <c r="I69" s="113">
        <f t="shared" ca="1" si="20"/>
        <v>0.27919650565466242</v>
      </c>
      <c r="J69" s="113">
        <f t="shared" ca="1" si="20"/>
        <v>0.26802932781903727</v>
      </c>
      <c r="K69" s="113">
        <f t="shared" ca="1" si="20"/>
        <v>0.26310981231429714</v>
      </c>
      <c r="L69" s="113">
        <f t="shared" ca="1" si="20"/>
        <v>0.25521521002196917</v>
      </c>
    </row>
    <row r="70" spans="1:13">
      <c r="B70" s="105" t="s">
        <v>305</v>
      </c>
      <c r="C70" s="89">
        <f>C13/C16</f>
        <v>79.261904761904788</v>
      </c>
      <c r="D70" s="89">
        <f t="shared" ref="D70:L70" si="21">D13/D16</f>
        <v>76.057553956834496</v>
      </c>
      <c r="E70" s="89">
        <f t="shared" si="21"/>
        <v>117.71134020618562</v>
      </c>
      <c r="F70" s="89">
        <f t="shared" si="21"/>
        <v>125.50515463917523</v>
      </c>
      <c r="G70" s="89">
        <f t="shared" si="21"/>
        <v>101.65034965034964</v>
      </c>
      <c r="H70" s="89">
        <f t="shared" ca="1" si="21"/>
        <v>76.620177968997396</v>
      </c>
      <c r="I70" s="89">
        <f t="shared" ca="1" si="21"/>
        <v>81.015880794860323</v>
      </c>
      <c r="J70" s="89">
        <f t="shared" ca="1" si="21"/>
        <v>85.572725407596735</v>
      </c>
      <c r="K70" s="89">
        <f t="shared" ca="1" si="21"/>
        <v>90.295535938165301</v>
      </c>
      <c r="L70" s="89">
        <f t="shared" ca="1" si="21"/>
        <v>95.189166235702544</v>
      </c>
    </row>
    <row r="71" spans="1:13">
      <c r="A71" s="105" t="s">
        <v>306</v>
      </c>
      <c r="B71" s="105" t="s">
        <v>307</v>
      </c>
      <c r="C71" s="113">
        <f>C13/C4</f>
        <v>0.20114398501540759</v>
      </c>
      <c r="D71" s="113">
        <f t="shared" ref="D71:L71" si="22">D13/D4</f>
        <v>0.19821137296810837</v>
      </c>
      <c r="E71" s="113">
        <f t="shared" si="22"/>
        <v>0.20218511501071315</v>
      </c>
      <c r="F71" s="113">
        <f t="shared" si="22"/>
        <v>0.20253206674541246</v>
      </c>
      <c r="G71" s="113">
        <f t="shared" si="22"/>
        <v>0.20823424920493938</v>
      </c>
      <c r="H71" s="113">
        <f t="shared" si="22"/>
        <v>0.20378623399079329</v>
      </c>
      <c r="I71" s="113">
        <f t="shared" si="22"/>
        <v>0.20401805759388075</v>
      </c>
      <c r="J71" s="113">
        <f t="shared" si="22"/>
        <v>0.20403307639963164</v>
      </c>
      <c r="K71" s="113">
        <f t="shared" si="22"/>
        <v>0.20384415224999675</v>
      </c>
      <c r="L71" s="113">
        <f t="shared" si="22"/>
        <v>0.20346338397354372</v>
      </c>
    </row>
    <row r="72" spans="1:13">
      <c r="B72" s="105" t="s">
        <v>308</v>
      </c>
      <c r="C72" s="113">
        <f>C20/C4</f>
        <v>0.15143703047269946</v>
      </c>
      <c r="D72" s="113">
        <f t="shared" ref="D72:L72" si="23">D20/D4</f>
        <v>0.14828355550555894</v>
      </c>
      <c r="E72" s="113">
        <f t="shared" si="23"/>
        <v>0.15212579462752115</v>
      </c>
      <c r="F72" s="113">
        <f t="shared" si="23"/>
        <v>0.15388710509241538</v>
      </c>
      <c r="G72" s="113">
        <f t="shared" si="23"/>
        <v>0.15570294817064437</v>
      </c>
      <c r="H72" s="113">
        <f t="shared" ca="1" si="23"/>
        <v>0.15434917103736076</v>
      </c>
      <c r="I72" s="113">
        <f t="shared" ca="1" si="23"/>
        <v>0.15513823809988006</v>
      </c>
      <c r="J72" s="113">
        <f t="shared" ca="1" si="23"/>
        <v>0.15575977773133481</v>
      </c>
      <c r="K72" s="113">
        <f t="shared" ca="1" si="23"/>
        <v>0.1559825088066891</v>
      </c>
      <c r="L72" s="113">
        <f t="shared" ca="1" si="23"/>
        <v>0.15581724642541853</v>
      </c>
    </row>
    <row r="73" spans="1:13">
      <c r="B73" s="105" t="s">
        <v>309</v>
      </c>
      <c r="C73" s="113">
        <f>C20/C56</f>
        <v>0.32652972597385688</v>
      </c>
      <c r="D73" s="113">
        <f t="shared" ref="D73:L73" si="24">D20/D56</f>
        <v>0.29670618247298908</v>
      </c>
      <c r="E73" s="113">
        <f t="shared" si="24"/>
        <v>0.31432021074198746</v>
      </c>
      <c r="F73" s="113">
        <f t="shared" si="24"/>
        <v>0.30405627506409816</v>
      </c>
      <c r="G73" s="113">
        <f t="shared" si="24"/>
        <v>0.34360773899848257</v>
      </c>
      <c r="H73" s="113">
        <f t="shared" ca="1" si="24"/>
        <v>0.32359107497318945</v>
      </c>
      <c r="I73" s="113">
        <f t="shared" ca="1" si="24"/>
        <v>0.3247462124844091</v>
      </c>
      <c r="J73" s="113">
        <f t="shared" ca="1" si="24"/>
        <v>0.31666811889332258</v>
      </c>
      <c r="K73" s="113">
        <f t="shared" ca="1" si="24"/>
        <v>0.3203938671444575</v>
      </c>
      <c r="L73" s="113">
        <f t="shared" ca="1" si="24"/>
        <v>0.31630654988625528</v>
      </c>
    </row>
    <row r="74" spans="1:13">
      <c r="B74" s="105" t="s">
        <v>310</v>
      </c>
      <c r="C74" s="113">
        <f>C20/C38</f>
        <v>0.22637362637362646</v>
      </c>
      <c r="D74" s="113">
        <f t="shared" ref="D74:L74" si="25">D20/D38</f>
        <v>0.20813705623832199</v>
      </c>
      <c r="E74" s="113">
        <f t="shared" si="25"/>
        <v>0.21668726511463673</v>
      </c>
      <c r="F74" s="113">
        <f t="shared" si="25"/>
        <v>0.21516631774831346</v>
      </c>
      <c r="G74" s="113">
        <f t="shared" si="25"/>
        <v>0.23895264476981923</v>
      </c>
      <c r="H74" s="113">
        <f t="shared" ca="1" si="25"/>
        <v>0.23050603563925334</v>
      </c>
      <c r="I74" s="113">
        <f t="shared" ca="1" si="25"/>
        <v>0.23243670364006322</v>
      </c>
      <c r="J74" s="113">
        <f t="shared" ca="1" si="25"/>
        <v>0.22823796671814661</v>
      </c>
      <c r="K74" s="113">
        <f t="shared" ca="1" si="25"/>
        <v>0.22824446743240789</v>
      </c>
      <c r="L74" s="113">
        <f t="shared" ca="1" si="25"/>
        <v>0.2254344237374151</v>
      </c>
    </row>
    <row r="75" spans="1:13">
      <c r="A75" s="105"/>
      <c r="B75" s="105">
        <v>1</v>
      </c>
      <c r="C75" s="89"/>
      <c r="D75" s="89"/>
      <c r="E75" s="89"/>
      <c r="F75" s="89"/>
      <c r="G75" s="114"/>
      <c r="H75" s="89"/>
      <c r="I75" s="89"/>
      <c r="J75" s="89"/>
      <c r="L75" s="89"/>
    </row>
    <row r="76" spans="1:13" ht="16" thickBot="1">
      <c r="C76" s="71">
        <v>43465</v>
      </c>
      <c r="D76" s="71">
        <v>43830</v>
      </c>
      <c r="E76" s="71">
        <v>44196</v>
      </c>
      <c r="F76" s="71">
        <v>44561</v>
      </c>
      <c r="G76" s="71">
        <v>44926</v>
      </c>
      <c r="H76" s="71">
        <v>45291</v>
      </c>
      <c r="I76" s="71">
        <v>45657</v>
      </c>
      <c r="J76" s="71">
        <v>46022</v>
      </c>
      <c r="K76" s="71">
        <v>46387</v>
      </c>
      <c r="L76" s="71">
        <v>46752</v>
      </c>
    </row>
    <row r="77" spans="1:13" ht="16" thickTop="1">
      <c r="B77" s="105" t="str">
        <f ca="1">OFFSET(B60,$B$75,0)</f>
        <v>Current Ratio</v>
      </c>
      <c r="C77" s="89">
        <f ca="1">OFFSET(C60,$B$75,0)</f>
        <v>5.2953818015546412</v>
      </c>
      <c r="D77" s="89">
        <f t="shared" ref="D77:L77" ca="1" si="26">OFFSET(D60,$B$75,0)</f>
        <v>4.5111070313934265</v>
      </c>
      <c r="E77" s="89">
        <f t="shared" ca="1" si="26"/>
        <v>4.0796474620532068</v>
      </c>
      <c r="F77" s="89">
        <f t="shared" ca="1" si="26"/>
        <v>4.1873350923482846</v>
      </c>
      <c r="G77" s="89">
        <f t="shared" ca="1" si="26"/>
        <v>3.9564446695365914</v>
      </c>
      <c r="H77" s="89">
        <f t="shared" ca="1" si="26"/>
        <v>4.5168450054261298</v>
      </c>
      <c r="I77" s="89">
        <f t="shared" ca="1" si="26"/>
        <v>4.5997595893448882</v>
      </c>
      <c r="J77" s="89">
        <f t="shared" ca="1" si="26"/>
        <v>4.7694478241481821</v>
      </c>
      <c r="K77" s="89">
        <f t="shared" ca="1" si="26"/>
        <v>4.7549169109975002</v>
      </c>
      <c r="L77" s="89">
        <f t="shared" ca="1" si="26"/>
        <v>4.7895156458026662</v>
      </c>
    </row>
    <row r="78" spans="1:13">
      <c r="B78" s="111"/>
      <c r="C78" s="115"/>
      <c r="D78" s="115"/>
      <c r="E78" s="115"/>
      <c r="F78" s="115"/>
      <c r="G78" s="115"/>
      <c r="H78" s="116"/>
      <c r="I78" s="116"/>
      <c r="J78" s="116"/>
      <c r="K78" s="116"/>
      <c r="L78" s="116"/>
    </row>
    <row r="79" spans="1:13" ht="16">
      <c r="C79" s="117" t="str">
        <f ca="1">"Dynamic Graph for "&amp;TEXT(B77,"")</f>
        <v>Dynamic Graph for Current Ratio</v>
      </c>
      <c r="H79" s="89"/>
      <c r="I79" s="89"/>
      <c r="J79" s="89"/>
      <c r="K79" s="89"/>
      <c r="L79" s="89"/>
    </row>
    <row r="80" spans="1:13">
      <c r="B80" s="107"/>
      <c r="C80" s="34"/>
      <c r="D80" s="34"/>
      <c r="E80" s="34"/>
      <c r="F80" s="34"/>
      <c r="G80" s="34"/>
      <c r="H80" s="118"/>
      <c r="I80" s="118"/>
      <c r="J80" s="118"/>
      <c r="K80" s="118"/>
      <c r="L80" s="118"/>
    </row>
    <row r="81" spans="2:12">
      <c r="B81" s="107"/>
      <c r="C81" s="34"/>
      <c r="D81" s="34"/>
      <c r="E81" s="34"/>
      <c r="F81" s="34"/>
      <c r="G81" s="34"/>
      <c r="H81" s="34"/>
      <c r="I81" s="34"/>
      <c r="J81" s="34"/>
      <c r="K81" s="34"/>
      <c r="L81" s="34"/>
    </row>
    <row r="82" spans="2:12">
      <c r="H82" s="89"/>
      <c r="I82" s="89"/>
      <c r="J82" s="89"/>
      <c r="K82" s="89"/>
      <c r="L82" s="89"/>
    </row>
    <row r="83" spans="2:12">
      <c r="C83" s="84"/>
      <c r="D83" s="84"/>
      <c r="E83" s="84"/>
      <c r="F83" s="84"/>
      <c r="G83" s="84"/>
      <c r="K83" s="32"/>
      <c r="L83" s="32"/>
    </row>
    <row r="84" spans="2:12">
      <c r="B84" s="111"/>
      <c r="C84" s="115"/>
      <c r="D84" s="115"/>
      <c r="E84" s="115"/>
      <c r="F84" s="115"/>
      <c r="G84" s="115"/>
      <c r="H84" s="116"/>
      <c r="I84" s="116"/>
      <c r="J84" s="116"/>
      <c r="K84" s="116"/>
      <c r="L84" s="116"/>
    </row>
    <row r="85" spans="2:12">
      <c r="C85" s="84"/>
      <c r="D85" s="84"/>
      <c r="E85" s="84"/>
      <c r="F85" s="84"/>
      <c r="G85" s="84"/>
      <c r="H85" s="89"/>
      <c r="I85" s="89"/>
      <c r="J85" s="89"/>
      <c r="K85" s="89"/>
      <c r="L85" s="89"/>
    </row>
    <row r="86" spans="2:12">
      <c r="H86" s="89"/>
      <c r="I86" s="89"/>
      <c r="J86" s="89"/>
      <c r="K86" s="89"/>
      <c r="L86" s="89"/>
    </row>
    <row r="87" spans="2:12">
      <c r="H87" s="89"/>
      <c r="I87" s="89"/>
      <c r="J87" s="89"/>
      <c r="K87" s="89"/>
      <c r="L87" s="89"/>
    </row>
    <row r="88" spans="2:12">
      <c r="K88" s="32"/>
      <c r="L88" s="32"/>
    </row>
    <row r="89" spans="2:12">
      <c r="K89" s="32"/>
      <c r="L89" s="32"/>
    </row>
    <row r="90" spans="2:12">
      <c r="B90" s="111"/>
      <c r="C90" s="115"/>
      <c r="D90" s="115"/>
      <c r="E90" s="115"/>
      <c r="F90" s="115"/>
      <c r="G90" s="115"/>
      <c r="H90" s="116"/>
      <c r="I90" s="116"/>
      <c r="J90" s="116"/>
      <c r="K90" s="116"/>
      <c r="L90" s="116"/>
    </row>
    <row r="91" spans="2:12">
      <c r="H91" s="89"/>
      <c r="I91" s="89"/>
      <c r="J91" s="89"/>
      <c r="K91" s="89"/>
      <c r="L91" s="89"/>
    </row>
    <row r="92" spans="2:12">
      <c r="B92" s="107"/>
      <c r="C92" s="34"/>
      <c r="D92" s="34"/>
      <c r="E92" s="34"/>
      <c r="F92" s="34"/>
      <c r="G92" s="34"/>
      <c r="H92" s="118"/>
      <c r="I92" s="118"/>
      <c r="J92" s="118"/>
      <c r="K92" s="118"/>
      <c r="L92" s="118"/>
    </row>
    <row r="93" spans="2:12">
      <c r="K93" s="32"/>
      <c r="L93" s="32"/>
    </row>
    <row r="94" spans="2:12">
      <c r="B94" s="107"/>
      <c r="K94" s="32"/>
      <c r="L94" s="32"/>
    </row>
    <row r="95" spans="2:12">
      <c r="K95" s="32"/>
      <c r="L95" s="32"/>
    </row>
    <row r="96" spans="2:12">
      <c r="B96" s="111"/>
      <c r="C96" s="115"/>
      <c r="D96" s="115"/>
      <c r="E96" s="115"/>
      <c r="F96" s="115"/>
      <c r="G96" s="115"/>
      <c r="H96" s="116"/>
      <c r="I96" s="116"/>
      <c r="J96" s="116"/>
      <c r="K96" s="116"/>
      <c r="L96" s="116"/>
    </row>
    <row r="97" spans="2:12">
      <c r="C97" s="89"/>
      <c r="D97" s="89"/>
      <c r="E97" s="89"/>
      <c r="F97" s="89"/>
      <c r="G97" s="89"/>
      <c r="H97" s="89"/>
      <c r="I97" s="89"/>
      <c r="J97" s="89"/>
      <c r="K97" s="89"/>
      <c r="L97" s="89"/>
    </row>
    <row r="98" spans="2:12">
      <c r="H98" s="89"/>
      <c r="I98" s="89"/>
      <c r="J98" s="89"/>
      <c r="K98" s="89"/>
      <c r="L98" s="89"/>
    </row>
    <row r="99" spans="2:12">
      <c r="K99" s="32"/>
      <c r="L99" s="32"/>
    </row>
    <row r="100" spans="2:12">
      <c r="B100" s="36"/>
      <c r="K100" s="32"/>
      <c r="L100" s="32"/>
    </row>
    <row r="101" spans="2:12">
      <c r="B101" s="111"/>
      <c r="C101" s="115"/>
      <c r="D101" s="115"/>
      <c r="E101" s="115"/>
      <c r="F101" s="115"/>
      <c r="G101" s="115"/>
      <c r="H101" s="116"/>
      <c r="I101" s="116"/>
      <c r="J101" s="116"/>
      <c r="K101" s="116"/>
      <c r="L101" s="116"/>
    </row>
    <row r="102" spans="2:12">
      <c r="H102" s="89"/>
      <c r="I102" s="89"/>
      <c r="J102" s="89"/>
      <c r="K102" s="89"/>
      <c r="L102" s="89"/>
    </row>
    <row r="103" spans="2:12">
      <c r="K103" s="32"/>
      <c r="L103" s="32"/>
    </row>
    <row r="104" spans="2:12">
      <c r="B104" s="36"/>
      <c r="K104" s="32"/>
      <c r="L104" s="32"/>
    </row>
    <row r="105" spans="2:12">
      <c r="B105" s="111"/>
      <c r="C105" s="119"/>
      <c r="D105" s="119"/>
      <c r="E105" s="119"/>
      <c r="F105" s="119"/>
      <c r="G105" s="119"/>
      <c r="H105" s="116"/>
      <c r="I105" s="116"/>
      <c r="J105" s="116"/>
      <c r="K105" s="116"/>
      <c r="L105" s="116"/>
    </row>
    <row r="106" spans="2:12">
      <c r="H106" s="89"/>
      <c r="I106" s="89"/>
      <c r="J106" s="89"/>
      <c r="K106" s="89"/>
      <c r="L106" s="89"/>
    </row>
    <row r="107" spans="2:12">
      <c r="H107" s="89"/>
      <c r="I107" s="89"/>
      <c r="J107" s="89"/>
      <c r="K107" s="89"/>
      <c r="L107" s="89"/>
    </row>
    <row r="108" spans="2:12">
      <c r="K108" s="32"/>
      <c r="L108" s="32"/>
    </row>
    <row r="109" spans="2:12">
      <c r="K109" s="32"/>
      <c r="L109" s="32"/>
    </row>
    <row r="110" spans="2:12">
      <c r="B110" s="111"/>
      <c r="H110" s="120"/>
      <c r="I110" s="120"/>
      <c r="J110" s="120"/>
      <c r="K110" s="120"/>
      <c r="L110" s="120"/>
    </row>
    <row r="111" spans="2:12">
      <c r="K111" s="32"/>
      <c r="L111" s="32"/>
    </row>
    <row r="112" spans="2:12">
      <c r="K112" s="32"/>
      <c r="L112" s="32"/>
    </row>
    <row r="113" spans="2:12">
      <c r="K113" s="32"/>
      <c r="L113" s="32"/>
    </row>
    <row r="114" spans="2:12">
      <c r="B114" s="121"/>
      <c r="C114" s="115"/>
      <c r="D114" s="115"/>
      <c r="E114" s="115"/>
      <c r="F114" s="115"/>
      <c r="G114" s="115"/>
      <c r="H114" s="116"/>
      <c r="I114" s="116"/>
      <c r="J114" s="116"/>
      <c r="K114" s="116"/>
      <c r="L114" s="116"/>
    </row>
    <row r="115" spans="2:12">
      <c r="H115" s="89"/>
      <c r="I115" s="89"/>
      <c r="J115" s="89"/>
      <c r="K115" s="89"/>
      <c r="L115" s="89"/>
    </row>
    <row r="116" spans="2:12">
      <c r="B116" s="111"/>
      <c r="H116" s="116"/>
      <c r="I116" s="116"/>
      <c r="J116" s="116"/>
      <c r="K116" s="116"/>
      <c r="L116" s="116"/>
    </row>
    <row r="117" spans="2:12">
      <c r="H117" s="89"/>
      <c r="I117" s="89"/>
      <c r="J117" s="89"/>
      <c r="K117" s="89"/>
      <c r="L117" s="89"/>
    </row>
    <row r="118" spans="2:12">
      <c r="H118" s="89"/>
      <c r="I118" s="89"/>
      <c r="J118" s="89"/>
      <c r="K118" s="89"/>
      <c r="L118" s="89"/>
    </row>
    <row r="119" spans="2:12">
      <c r="B119" s="36"/>
      <c r="K119" s="32"/>
      <c r="L119" s="32"/>
    </row>
    <row r="120" spans="2:12">
      <c r="B120" s="111"/>
      <c r="C120" s="115"/>
      <c r="D120" s="115"/>
      <c r="E120" s="115"/>
      <c r="F120" s="115"/>
      <c r="G120" s="115"/>
      <c r="H120" s="116"/>
      <c r="I120" s="116"/>
      <c r="J120" s="116"/>
      <c r="K120" s="116"/>
      <c r="L120" s="116"/>
    </row>
    <row r="121" spans="2:12">
      <c r="H121" s="89"/>
      <c r="I121" s="89"/>
      <c r="J121" s="89"/>
      <c r="K121" s="89"/>
      <c r="L121" s="89"/>
    </row>
    <row r="122" spans="2:12">
      <c r="K122" s="32"/>
      <c r="L122" s="32"/>
    </row>
    <row r="123" spans="2:12">
      <c r="C123" s="122"/>
      <c r="D123" s="122"/>
      <c r="E123" s="122"/>
      <c r="F123" s="122"/>
      <c r="G123" s="122"/>
      <c r="K123" s="32"/>
      <c r="L123" s="32"/>
    </row>
    <row r="124" spans="2:12">
      <c r="B124" s="111"/>
      <c r="C124" s="119"/>
      <c r="D124" s="119"/>
      <c r="E124" s="119"/>
      <c r="F124" s="119"/>
      <c r="G124" s="119"/>
      <c r="H124" s="123"/>
      <c r="I124" s="123"/>
      <c r="J124" s="123"/>
      <c r="K124" s="123"/>
      <c r="L124" s="123"/>
    </row>
    <row r="125" spans="2:12">
      <c r="C125" s="122"/>
      <c r="D125" s="122"/>
      <c r="E125" s="122"/>
      <c r="F125" s="122"/>
      <c r="H125" s="89"/>
      <c r="I125" s="89"/>
      <c r="J125" s="89"/>
      <c r="K125" s="89"/>
      <c r="L125" s="89"/>
    </row>
    <row r="126" spans="2:12">
      <c r="B126" s="107"/>
      <c r="C126" s="124"/>
      <c r="D126" s="124"/>
      <c r="E126" s="124"/>
      <c r="F126" s="124"/>
      <c r="G126" s="124"/>
      <c r="H126" s="124"/>
      <c r="I126" s="124"/>
      <c r="J126" s="124"/>
      <c r="K126" s="124"/>
      <c r="L126" s="124"/>
    </row>
    <row r="127" spans="2:12">
      <c r="B127" s="107"/>
      <c r="C127" s="34"/>
      <c r="D127" s="34"/>
      <c r="E127" s="34"/>
      <c r="F127" s="34"/>
      <c r="G127" s="34"/>
      <c r="H127" s="34"/>
      <c r="I127" s="34"/>
      <c r="J127" s="34"/>
      <c r="K127" s="34"/>
      <c r="L127" s="34"/>
    </row>
    <row r="128" spans="2:12">
      <c r="B128" s="107"/>
      <c r="K128" s="32"/>
      <c r="L128" s="32"/>
    </row>
    <row r="129" spans="2:12">
      <c r="K129" s="32"/>
      <c r="L129" s="32"/>
    </row>
    <row r="130" spans="2:12">
      <c r="B130" s="121"/>
      <c r="C130" s="115"/>
      <c r="D130" s="115"/>
      <c r="E130" s="115"/>
      <c r="F130" s="115"/>
      <c r="G130" s="115"/>
      <c r="H130" s="116"/>
      <c r="I130" s="125"/>
      <c r="J130" s="125"/>
      <c r="K130" s="125"/>
      <c r="L130" s="125"/>
    </row>
    <row r="131" spans="2:12">
      <c r="H131" s="89"/>
      <c r="I131" s="89"/>
      <c r="J131" s="89"/>
      <c r="K131" s="89"/>
      <c r="L131" s="89"/>
    </row>
    <row r="132" spans="2:12">
      <c r="H132" s="89"/>
      <c r="I132" s="89"/>
      <c r="J132" s="89"/>
      <c r="K132" s="89"/>
      <c r="L132" s="89"/>
    </row>
    <row r="133" spans="2:12">
      <c r="B133" s="36"/>
      <c r="K133" s="32"/>
      <c r="L133" s="32"/>
    </row>
    <row r="134" spans="2:12">
      <c r="B134" s="111"/>
      <c r="C134" s="126"/>
      <c r="D134" s="126"/>
      <c r="E134" s="126"/>
      <c r="F134" s="126"/>
      <c r="G134" s="126"/>
      <c r="H134" s="116"/>
      <c r="I134" s="125"/>
      <c r="J134" s="125"/>
      <c r="K134" s="125"/>
      <c r="L134" s="125"/>
    </row>
    <row r="135" spans="2:12">
      <c r="H135" s="89"/>
      <c r="I135" s="89"/>
      <c r="J135" s="89"/>
      <c r="K135" s="89"/>
      <c r="L135" s="89"/>
    </row>
    <row r="136" spans="2:12">
      <c r="K136" s="32"/>
      <c r="L136" s="32"/>
    </row>
    <row r="137" spans="2:12">
      <c r="K137" s="32"/>
      <c r="L137" s="32"/>
    </row>
    <row r="138" spans="2:12">
      <c r="H138" s="89"/>
      <c r="I138" s="89"/>
      <c r="J138" s="89"/>
      <c r="K138" s="89"/>
      <c r="L138" s="89"/>
    </row>
    <row r="139" spans="2:12">
      <c r="H139" s="89"/>
      <c r="I139" s="89"/>
      <c r="J139" s="89"/>
      <c r="K139" s="89"/>
      <c r="L139" s="89"/>
    </row>
    <row r="140" spans="2:12">
      <c r="K140" s="32"/>
      <c r="L140" s="32"/>
    </row>
    <row r="141" spans="2:12">
      <c r="B141" s="36"/>
      <c r="C141" s="127"/>
      <c r="D141" s="127"/>
      <c r="E141" s="127"/>
      <c r="F141" s="127"/>
      <c r="G141" s="127"/>
      <c r="K141" s="32"/>
      <c r="L141" s="32"/>
    </row>
    <row r="142" spans="2:12">
      <c r="B142" s="111"/>
      <c r="C142" s="115"/>
      <c r="D142" s="115"/>
      <c r="E142" s="115"/>
      <c r="F142" s="115"/>
      <c r="G142" s="115"/>
      <c r="H142" s="116"/>
      <c r="I142" s="116"/>
      <c r="J142" s="116"/>
      <c r="K142" s="116"/>
      <c r="L142" s="116"/>
    </row>
    <row r="143" spans="2:12">
      <c r="C143" s="127"/>
      <c r="D143" s="127"/>
      <c r="E143" s="127"/>
      <c r="F143" s="127"/>
      <c r="G143" s="127"/>
      <c r="H143" s="127"/>
      <c r="I143" s="127"/>
      <c r="J143" s="127"/>
      <c r="K143" s="127"/>
      <c r="L143" s="127"/>
    </row>
    <row r="144" spans="2:12">
      <c r="B144" s="107"/>
      <c r="C144" s="128"/>
      <c r="D144" s="128"/>
      <c r="E144" s="128"/>
      <c r="F144" s="128"/>
      <c r="G144" s="128"/>
      <c r="H144" s="128"/>
      <c r="I144" s="128"/>
      <c r="J144" s="128"/>
      <c r="K144" s="128"/>
      <c r="L144" s="128"/>
    </row>
    <row r="145" spans="2:12">
      <c r="B145" s="107"/>
      <c r="C145" s="128"/>
      <c r="D145" s="128"/>
      <c r="E145" s="128"/>
      <c r="F145" s="128"/>
      <c r="G145" s="128"/>
      <c r="H145" s="128"/>
      <c r="I145" s="128"/>
      <c r="J145" s="128"/>
      <c r="K145" s="128"/>
      <c r="L145" s="128"/>
    </row>
    <row r="146" spans="2:12">
      <c r="K146" s="32"/>
      <c r="L146" s="32"/>
    </row>
    <row r="147" spans="2:12">
      <c r="B147" s="107"/>
      <c r="K147" s="32"/>
      <c r="L147" s="32"/>
    </row>
    <row r="148" spans="2:12">
      <c r="C148" s="129"/>
      <c r="D148" s="129"/>
      <c r="E148" s="129"/>
      <c r="F148" s="129"/>
      <c r="G148" s="129"/>
      <c r="H148" s="129"/>
      <c r="I148" s="129"/>
      <c r="J148" s="129"/>
      <c r="K148" s="129"/>
      <c r="L148" s="129"/>
    </row>
    <row r="149" spans="2:12">
      <c r="C149" s="130"/>
      <c r="D149" s="130"/>
      <c r="E149" s="130"/>
      <c r="F149" s="130"/>
      <c r="G149" s="130"/>
      <c r="H149" s="130"/>
      <c r="I149" s="130"/>
      <c r="J149" s="130"/>
      <c r="K149" s="130"/>
      <c r="L149" s="129"/>
    </row>
    <row r="150" spans="2:12">
      <c r="H150" s="129"/>
      <c r="I150" s="129"/>
      <c r="J150" s="129"/>
      <c r="K150" s="129"/>
      <c r="L150" s="129"/>
    </row>
    <row r="151" spans="2:12">
      <c r="K151" s="32"/>
      <c r="L151" s="32"/>
    </row>
    <row r="153" spans="2:12">
      <c r="B153" s="131"/>
    </row>
    <row r="154" spans="2:12">
      <c r="B154" s="131"/>
    </row>
    <row r="156" spans="2:12">
      <c r="B156" s="132"/>
    </row>
    <row r="157" spans="2:12">
      <c r="B157" s="131"/>
    </row>
    <row r="158" spans="2:12">
      <c r="B158" s="131"/>
    </row>
  </sheetData>
  <phoneticPr fontId="2"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Drop Down 1">
              <controlPr defaultSize="0" autoLine="0" autoPict="0">
                <anchor moveWithCells="1">
                  <from>
                    <xdr:col>1</xdr:col>
                    <xdr:colOff>12700</xdr:colOff>
                    <xdr:row>75</xdr:row>
                    <xdr:rowOff>12700</xdr:rowOff>
                  </from>
                  <to>
                    <xdr:col>1</xdr:col>
                    <xdr:colOff>1117600</xdr:colOff>
                    <xdr:row>76</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28"/>
  <sheetViews>
    <sheetView zoomScale="107" workbookViewId="0">
      <selection activeCell="C9" sqref="C9"/>
    </sheetView>
  </sheetViews>
  <sheetFormatPr baseColWidth="10" defaultColWidth="10.6640625" defaultRowHeight="13"/>
  <cols>
    <col min="1" max="1" width="4.1640625" style="32" customWidth="1"/>
    <col min="2" max="2" width="36.1640625" style="32" customWidth="1"/>
    <col min="3" max="7" width="12" style="32" bestFit="1" customWidth="1"/>
    <col min="8" max="8" width="10.6640625" style="32"/>
    <col min="9" max="9" width="19.6640625" style="32" bestFit="1" customWidth="1"/>
    <col min="10" max="13" width="11.5" style="32" bestFit="1" customWidth="1"/>
    <col min="14" max="256" width="10.6640625" style="32"/>
    <col min="257" max="257" width="4.1640625" style="32" customWidth="1"/>
    <col min="258" max="258" width="36.1640625" style="32" customWidth="1"/>
    <col min="259" max="263" width="12" style="32" bestFit="1" customWidth="1"/>
    <col min="264" max="264" width="10.6640625" style="32"/>
    <col min="265" max="265" width="19.6640625" style="32" bestFit="1" customWidth="1"/>
    <col min="266" max="269" width="11.5" style="32" bestFit="1" customWidth="1"/>
    <col min="270" max="512" width="10.6640625" style="32"/>
    <col min="513" max="513" width="4.1640625" style="32" customWidth="1"/>
    <col min="514" max="514" width="36.1640625" style="32" customWidth="1"/>
    <col min="515" max="519" width="12" style="32" bestFit="1" customWidth="1"/>
    <col min="520" max="520" width="10.6640625" style="32"/>
    <col min="521" max="521" width="19.6640625" style="32" bestFit="1" customWidth="1"/>
    <col min="522" max="525" width="11.5" style="32" bestFit="1" customWidth="1"/>
    <col min="526" max="768" width="10.6640625" style="32"/>
    <col min="769" max="769" width="4.1640625" style="32" customWidth="1"/>
    <col min="770" max="770" width="36.1640625" style="32" customWidth="1"/>
    <col min="771" max="775" width="12" style="32" bestFit="1" customWidth="1"/>
    <col min="776" max="776" width="10.6640625" style="32"/>
    <col min="777" max="777" width="19.6640625" style="32" bestFit="1" customWidth="1"/>
    <col min="778" max="781" width="11.5" style="32" bestFit="1" customWidth="1"/>
    <col min="782" max="1024" width="10.6640625" style="32"/>
    <col min="1025" max="1025" width="4.1640625" style="32" customWidth="1"/>
    <col min="1026" max="1026" width="36.1640625" style="32" customWidth="1"/>
    <col min="1027" max="1031" width="12" style="32" bestFit="1" customWidth="1"/>
    <col min="1032" max="1032" width="10.6640625" style="32"/>
    <col min="1033" max="1033" width="19.6640625" style="32" bestFit="1" customWidth="1"/>
    <col min="1034" max="1037" width="11.5" style="32" bestFit="1" customWidth="1"/>
    <col min="1038" max="1280" width="10.6640625" style="32"/>
    <col min="1281" max="1281" width="4.1640625" style="32" customWidth="1"/>
    <col min="1282" max="1282" width="36.1640625" style="32" customWidth="1"/>
    <col min="1283" max="1287" width="12" style="32" bestFit="1" customWidth="1"/>
    <col min="1288" max="1288" width="10.6640625" style="32"/>
    <col min="1289" max="1289" width="19.6640625" style="32" bestFit="1" customWidth="1"/>
    <col min="1290" max="1293" width="11.5" style="32" bestFit="1" customWidth="1"/>
    <col min="1294" max="1536" width="10.6640625" style="32"/>
    <col min="1537" max="1537" width="4.1640625" style="32" customWidth="1"/>
    <col min="1538" max="1538" width="36.1640625" style="32" customWidth="1"/>
    <col min="1539" max="1543" width="12" style="32" bestFit="1" customWidth="1"/>
    <col min="1544" max="1544" width="10.6640625" style="32"/>
    <col min="1545" max="1545" width="19.6640625" style="32" bestFit="1" customWidth="1"/>
    <col min="1546" max="1549" width="11.5" style="32" bestFit="1" customWidth="1"/>
    <col min="1550" max="1792" width="10.6640625" style="32"/>
    <col min="1793" max="1793" width="4.1640625" style="32" customWidth="1"/>
    <col min="1794" max="1794" width="36.1640625" style="32" customWidth="1"/>
    <col min="1795" max="1799" width="12" style="32" bestFit="1" customWidth="1"/>
    <col min="1800" max="1800" width="10.6640625" style="32"/>
    <col min="1801" max="1801" width="19.6640625" style="32" bestFit="1" customWidth="1"/>
    <col min="1802" max="1805" width="11.5" style="32" bestFit="1" customWidth="1"/>
    <col min="1806" max="2048" width="10.6640625" style="32"/>
    <col min="2049" max="2049" width="4.1640625" style="32" customWidth="1"/>
    <col min="2050" max="2050" width="36.1640625" style="32" customWidth="1"/>
    <col min="2051" max="2055" width="12" style="32" bestFit="1" customWidth="1"/>
    <col min="2056" max="2056" width="10.6640625" style="32"/>
    <col min="2057" max="2057" width="19.6640625" style="32" bestFit="1" customWidth="1"/>
    <col min="2058" max="2061" width="11.5" style="32" bestFit="1" customWidth="1"/>
    <col min="2062" max="2304" width="10.6640625" style="32"/>
    <col min="2305" max="2305" width="4.1640625" style="32" customWidth="1"/>
    <col min="2306" max="2306" width="36.1640625" style="32" customWidth="1"/>
    <col min="2307" max="2311" width="12" style="32" bestFit="1" customWidth="1"/>
    <col min="2312" max="2312" width="10.6640625" style="32"/>
    <col min="2313" max="2313" width="19.6640625" style="32" bestFit="1" customWidth="1"/>
    <col min="2314" max="2317" width="11.5" style="32" bestFit="1" customWidth="1"/>
    <col min="2318" max="2560" width="10.6640625" style="32"/>
    <col min="2561" max="2561" width="4.1640625" style="32" customWidth="1"/>
    <col min="2562" max="2562" width="36.1640625" style="32" customWidth="1"/>
    <col min="2563" max="2567" width="12" style="32" bestFit="1" customWidth="1"/>
    <col min="2568" max="2568" width="10.6640625" style="32"/>
    <col min="2569" max="2569" width="19.6640625" style="32" bestFit="1" customWidth="1"/>
    <col min="2570" max="2573" width="11.5" style="32" bestFit="1" customWidth="1"/>
    <col min="2574" max="2816" width="10.6640625" style="32"/>
    <col min="2817" max="2817" width="4.1640625" style="32" customWidth="1"/>
    <col min="2818" max="2818" width="36.1640625" style="32" customWidth="1"/>
    <col min="2819" max="2823" width="12" style="32" bestFit="1" customWidth="1"/>
    <col min="2824" max="2824" width="10.6640625" style="32"/>
    <col min="2825" max="2825" width="19.6640625" style="32" bestFit="1" customWidth="1"/>
    <col min="2826" max="2829" width="11.5" style="32" bestFit="1" customWidth="1"/>
    <col min="2830" max="3072" width="10.6640625" style="32"/>
    <col min="3073" max="3073" width="4.1640625" style="32" customWidth="1"/>
    <col min="3074" max="3074" width="36.1640625" style="32" customWidth="1"/>
    <col min="3075" max="3079" width="12" style="32" bestFit="1" customWidth="1"/>
    <col min="3080" max="3080" width="10.6640625" style="32"/>
    <col min="3081" max="3081" width="19.6640625" style="32" bestFit="1" customWidth="1"/>
    <col min="3082" max="3085" width="11.5" style="32" bestFit="1" customWidth="1"/>
    <col min="3086" max="3328" width="10.6640625" style="32"/>
    <col min="3329" max="3329" width="4.1640625" style="32" customWidth="1"/>
    <col min="3330" max="3330" width="36.1640625" style="32" customWidth="1"/>
    <col min="3331" max="3335" width="12" style="32" bestFit="1" customWidth="1"/>
    <col min="3336" max="3336" width="10.6640625" style="32"/>
    <col min="3337" max="3337" width="19.6640625" style="32" bestFit="1" customWidth="1"/>
    <col min="3338" max="3341" width="11.5" style="32" bestFit="1" customWidth="1"/>
    <col min="3342" max="3584" width="10.6640625" style="32"/>
    <col min="3585" max="3585" width="4.1640625" style="32" customWidth="1"/>
    <col min="3586" max="3586" width="36.1640625" style="32" customWidth="1"/>
    <col min="3587" max="3591" width="12" style="32" bestFit="1" customWidth="1"/>
    <col min="3592" max="3592" width="10.6640625" style="32"/>
    <col min="3593" max="3593" width="19.6640625" style="32" bestFit="1" customWidth="1"/>
    <col min="3594" max="3597" width="11.5" style="32" bestFit="1" customWidth="1"/>
    <col min="3598" max="3840" width="10.6640625" style="32"/>
    <col min="3841" max="3841" width="4.1640625" style="32" customWidth="1"/>
    <col min="3842" max="3842" width="36.1640625" style="32" customWidth="1"/>
    <col min="3843" max="3847" width="12" style="32" bestFit="1" customWidth="1"/>
    <col min="3848" max="3848" width="10.6640625" style="32"/>
    <col min="3849" max="3849" width="19.6640625" style="32" bestFit="1" customWidth="1"/>
    <col min="3850" max="3853" width="11.5" style="32" bestFit="1" customWidth="1"/>
    <col min="3854" max="4096" width="10.6640625" style="32"/>
    <col min="4097" max="4097" width="4.1640625" style="32" customWidth="1"/>
    <col min="4098" max="4098" width="36.1640625" style="32" customWidth="1"/>
    <col min="4099" max="4103" width="12" style="32" bestFit="1" customWidth="1"/>
    <col min="4104" max="4104" width="10.6640625" style="32"/>
    <col min="4105" max="4105" width="19.6640625" style="32" bestFit="1" customWidth="1"/>
    <col min="4106" max="4109" width="11.5" style="32" bestFit="1" customWidth="1"/>
    <col min="4110" max="4352" width="10.6640625" style="32"/>
    <col min="4353" max="4353" width="4.1640625" style="32" customWidth="1"/>
    <col min="4354" max="4354" width="36.1640625" style="32" customWidth="1"/>
    <col min="4355" max="4359" width="12" style="32" bestFit="1" customWidth="1"/>
    <col min="4360" max="4360" width="10.6640625" style="32"/>
    <col min="4361" max="4361" width="19.6640625" style="32" bestFit="1" customWidth="1"/>
    <col min="4362" max="4365" width="11.5" style="32" bestFit="1" customWidth="1"/>
    <col min="4366" max="4608" width="10.6640625" style="32"/>
    <col min="4609" max="4609" width="4.1640625" style="32" customWidth="1"/>
    <col min="4610" max="4610" width="36.1640625" style="32" customWidth="1"/>
    <col min="4611" max="4615" width="12" style="32" bestFit="1" customWidth="1"/>
    <col min="4616" max="4616" width="10.6640625" style="32"/>
    <col min="4617" max="4617" width="19.6640625" style="32" bestFit="1" customWidth="1"/>
    <col min="4618" max="4621" width="11.5" style="32" bestFit="1" customWidth="1"/>
    <col min="4622" max="4864" width="10.6640625" style="32"/>
    <col min="4865" max="4865" width="4.1640625" style="32" customWidth="1"/>
    <col min="4866" max="4866" width="36.1640625" style="32" customWidth="1"/>
    <col min="4867" max="4871" width="12" style="32" bestFit="1" customWidth="1"/>
    <col min="4872" max="4872" width="10.6640625" style="32"/>
    <col min="4873" max="4873" width="19.6640625" style="32" bestFit="1" customWidth="1"/>
    <col min="4874" max="4877" width="11.5" style="32" bestFit="1" customWidth="1"/>
    <col min="4878" max="5120" width="10.6640625" style="32"/>
    <col min="5121" max="5121" width="4.1640625" style="32" customWidth="1"/>
    <col min="5122" max="5122" width="36.1640625" style="32" customWidth="1"/>
    <col min="5123" max="5127" width="12" style="32" bestFit="1" customWidth="1"/>
    <col min="5128" max="5128" width="10.6640625" style="32"/>
    <col min="5129" max="5129" width="19.6640625" style="32" bestFit="1" customWidth="1"/>
    <col min="5130" max="5133" width="11.5" style="32" bestFit="1" customWidth="1"/>
    <col min="5134" max="5376" width="10.6640625" style="32"/>
    <col min="5377" max="5377" width="4.1640625" style="32" customWidth="1"/>
    <col min="5378" max="5378" width="36.1640625" style="32" customWidth="1"/>
    <col min="5379" max="5383" width="12" style="32" bestFit="1" customWidth="1"/>
    <col min="5384" max="5384" width="10.6640625" style="32"/>
    <col min="5385" max="5385" width="19.6640625" style="32" bestFit="1" customWidth="1"/>
    <col min="5386" max="5389" width="11.5" style="32" bestFit="1" customWidth="1"/>
    <col min="5390" max="5632" width="10.6640625" style="32"/>
    <col min="5633" max="5633" width="4.1640625" style="32" customWidth="1"/>
    <col min="5634" max="5634" width="36.1640625" style="32" customWidth="1"/>
    <col min="5635" max="5639" width="12" style="32" bestFit="1" customWidth="1"/>
    <col min="5640" max="5640" width="10.6640625" style="32"/>
    <col min="5641" max="5641" width="19.6640625" style="32" bestFit="1" customWidth="1"/>
    <col min="5642" max="5645" width="11.5" style="32" bestFit="1" customWidth="1"/>
    <col min="5646" max="5888" width="10.6640625" style="32"/>
    <col min="5889" max="5889" width="4.1640625" style="32" customWidth="1"/>
    <col min="5890" max="5890" width="36.1640625" style="32" customWidth="1"/>
    <col min="5891" max="5895" width="12" style="32" bestFit="1" customWidth="1"/>
    <col min="5896" max="5896" width="10.6640625" style="32"/>
    <col min="5897" max="5897" width="19.6640625" style="32" bestFit="1" customWidth="1"/>
    <col min="5898" max="5901" width="11.5" style="32" bestFit="1" customWidth="1"/>
    <col min="5902" max="6144" width="10.6640625" style="32"/>
    <col min="6145" max="6145" width="4.1640625" style="32" customWidth="1"/>
    <col min="6146" max="6146" width="36.1640625" style="32" customWidth="1"/>
    <col min="6147" max="6151" width="12" style="32" bestFit="1" customWidth="1"/>
    <col min="6152" max="6152" width="10.6640625" style="32"/>
    <col min="6153" max="6153" width="19.6640625" style="32" bestFit="1" customWidth="1"/>
    <col min="6154" max="6157" width="11.5" style="32" bestFit="1" customWidth="1"/>
    <col min="6158" max="6400" width="10.6640625" style="32"/>
    <col min="6401" max="6401" width="4.1640625" style="32" customWidth="1"/>
    <col min="6402" max="6402" width="36.1640625" style="32" customWidth="1"/>
    <col min="6403" max="6407" width="12" style="32" bestFit="1" customWidth="1"/>
    <col min="6408" max="6408" width="10.6640625" style="32"/>
    <col min="6409" max="6409" width="19.6640625" style="32" bestFit="1" customWidth="1"/>
    <col min="6410" max="6413" width="11.5" style="32" bestFit="1" customWidth="1"/>
    <col min="6414" max="6656" width="10.6640625" style="32"/>
    <col min="6657" max="6657" width="4.1640625" style="32" customWidth="1"/>
    <col min="6658" max="6658" width="36.1640625" style="32" customWidth="1"/>
    <col min="6659" max="6663" width="12" style="32" bestFit="1" customWidth="1"/>
    <col min="6664" max="6664" width="10.6640625" style="32"/>
    <col min="6665" max="6665" width="19.6640625" style="32" bestFit="1" customWidth="1"/>
    <col min="6666" max="6669" width="11.5" style="32" bestFit="1" customWidth="1"/>
    <col min="6670" max="6912" width="10.6640625" style="32"/>
    <col min="6913" max="6913" width="4.1640625" style="32" customWidth="1"/>
    <col min="6914" max="6914" width="36.1640625" style="32" customWidth="1"/>
    <col min="6915" max="6919" width="12" style="32" bestFit="1" customWidth="1"/>
    <col min="6920" max="6920" width="10.6640625" style="32"/>
    <col min="6921" max="6921" width="19.6640625" style="32" bestFit="1" customWidth="1"/>
    <col min="6922" max="6925" width="11.5" style="32" bestFit="1" customWidth="1"/>
    <col min="6926" max="7168" width="10.6640625" style="32"/>
    <col min="7169" max="7169" width="4.1640625" style="32" customWidth="1"/>
    <col min="7170" max="7170" width="36.1640625" style="32" customWidth="1"/>
    <col min="7171" max="7175" width="12" style="32" bestFit="1" customWidth="1"/>
    <col min="7176" max="7176" width="10.6640625" style="32"/>
    <col min="7177" max="7177" width="19.6640625" style="32" bestFit="1" customWidth="1"/>
    <col min="7178" max="7181" width="11.5" style="32" bestFit="1" customWidth="1"/>
    <col min="7182" max="7424" width="10.6640625" style="32"/>
    <col min="7425" max="7425" width="4.1640625" style="32" customWidth="1"/>
    <col min="7426" max="7426" width="36.1640625" style="32" customWidth="1"/>
    <col min="7427" max="7431" width="12" style="32" bestFit="1" customWidth="1"/>
    <col min="7432" max="7432" width="10.6640625" style="32"/>
    <col min="7433" max="7433" width="19.6640625" style="32" bestFit="1" customWidth="1"/>
    <col min="7434" max="7437" width="11.5" style="32" bestFit="1" customWidth="1"/>
    <col min="7438" max="7680" width="10.6640625" style="32"/>
    <col min="7681" max="7681" width="4.1640625" style="32" customWidth="1"/>
    <col min="7682" max="7682" width="36.1640625" style="32" customWidth="1"/>
    <col min="7683" max="7687" width="12" style="32" bestFit="1" customWidth="1"/>
    <col min="7688" max="7688" width="10.6640625" style="32"/>
    <col min="7689" max="7689" width="19.6640625" style="32" bestFit="1" customWidth="1"/>
    <col min="7690" max="7693" width="11.5" style="32" bestFit="1" customWidth="1"/>
    <col min="7694" max="7936" width="10.6640625" style="32"/>
    <col min="7937" max="7937" width="4.1640625" style="32" customWidth="1"/>
    <col min="7938" max="7938" width="36.1640625" style="32" customWidth="1"/>
    <col min="7939" max="7943" width="12" style="32" bestFit="1" customWidth="1"/>
    <col min="7944" max="7944" width="10.6640625" style="32"/>
    <col min="7945" max="7945" width="19.6640625" style="32" bestFit="1" customWidth="1"/>
    <col min="7946" max="7949" width="11.5" style="32" bestFit="1" customWidth="1"/>
    <col min="7950" max="8192" width="10.6640625" style="32"/>
    <col min="8193" max="8193" width="4.1640625" style="32" customWidth="1"/>
    <col min="8194" max="8194" width="36.1640625" style="32" customWidth="1"/>
    <col min="8195" max="8199" width="12" style="32" bestFit="1" customWidth="1"/>
    <col min="8200" max="8200" width="10.6640625" style="32"/>
    <col min="8201" max="8201" width="19.6640625" style="32" bestFit="1" customWidth="1"/>
    <col min="8202" max="8205" width="11.5" style="32" bestFit="1" customWidth="1"/>
    <col min="8206" max="8448" width="10.6640625" style="32"/>
    <col min="8449" max="8449" width="4.1640625" style="32" customWidth="1"/>
    <col min="8450" max="8450" width="36.1640625" style="32" customWidth="1"/>
    <col min="8451" max="8455" width="12" style="32" bestFit="1" customWidth="1"/>
    <col min="8456" max="8456" width="10.6640625" style="32"/>
    <col min="8457" max="8457" width="19.6640625" style="32" bestFit="1" customWidth="1"/>
    <col min="8458" max="8461" width="11.5" style="32" bestFit="1" customWidth="1"/>
    <col min="8462" max="8704" width="10.6640625" style="32"/>
    <col min="8705" max="8705" width="4.1640625" style="32" customWidth="1"/>
    <col min="8706" max="8706" width="36.1640625" style="32" customWidth="1"/>
    <col min="8707" max="8711" width="12" style="32" bestFit="1" customWidth="1"/>
    <col min="8712" max="8712" width="10.6640625" style="32"/>
    <col min="8713" max="8713" width="19.6640625" style="32" bestFit="1" customWidth="1"/>
    <col min="8714" max="8717" width="11.5" style="32" bestFit="1" customWidth="1"/>
    <col min="8718" max="8960" width="10.6640625" style="32"/>
    <col min="8961" max="8961" width="4.1640625" style="32" customWidth="1"/>
    <col min="8962" max="8962" width="36.1640625" style="32" customWidth="1"/>
    <col min="8963" max="8967" width="12" style="32" bestFit="1" customWidth="1"/>
    <col min="8968" max="8968" width="10.6640625" style="32"/>
    <col min="8969" max="8969" width="19.6640625" style="32" bestFit="1" customWidth="1"/>
    <col min="8970" max="8973" width="11.5" style="32" bestFit="1" customWidth="1"/>
    <col min="8974" max="9216" width="10.6640625" style="32"/>
    <col min="9217" max="9217" width="4.1640625" style="32" customWidth="1"/>
    <col min="9218" max="9218" width="36.1640625" style="32" customWidth="1"/>
    <col min="9219" max="9223" width="12" style="32" bestFit="1" customWidth="1"/>
    <col min="9224" max="9224" width="10.6640625" style="32"/>
    <col min="9225" max="9225" width="19.6640625" style="32" bestFit="1" customWidth="1"/>
    <col min="9226" max="9229" width="11.5" style="32" bestFit="1" customWidth="1"/>
    <col min="9230" max="9472" width="10.6640625" style="32"/>
    <col min="9473" max="9473" width="4.1640625" style="32" customWidth="1"/>
    <col min="9474" max="9474" width="36.1640625" style="32" customWidth="1"/>
    <col min="9475" max="9479" width="12" style="32" bestFit="1" customWidth="1"/>
    <col min="9480" max="9480" width="10.6640625" style="32"/>
    <col min="9481" max="9481" width="19.6640625" style="32" bestFit="1" customWidth="1"/>
    <col min="9482" max="9485" width="11.5" style="32" bestFit="1" customWidth="1"/>
    <col min="9486" max="9728" width="10.6640625" style="32"/>
    <col min="9729" max="9729" width="4.1640625" style="32" customWidth="1"/>
    <col min="9730" max="9730" width="36.1640625" style="32" customWidth="1"/>
    <col min="9731" max="9735" width="12" style="32" bestFit="1" customWidth="1"/>
    <col min="9736" max="9736" width="10.6640625" style="32"/>
    <col min="9737" max="9737" width="19.6640625" style="32" bestFit="1" customWidth="1"/>
    <col min="9738" max="9741" width="11.5" style="32" bestFit="1" customWidth="1"/>
    <col min="9742" max="9984" width="10.6640625" style="32"/>
    <col min="9985" max="9985" width="4.1640625" style="32" customWidth="1"/>
    <col min="9986" max="9986" width="36.1640625" style="32" customWidth="1"/>
    <col min="9987" max="9991" width="12" style="32" bestFit="1" customWidth="1"/>
    <col min="9992" max="9992" width="10.6640625" style="32"/>
    <col min="9993" max="9993" width="19.6640625" style="32" bestFit="1" customWidth="1"/>
    <col min="9994" max="9997" width="11.5" style="32" bestFit="1" customWidth="1"/>
    <col min="9998" max="10240" width="10.6640625" style="32"/>
    <col min="10241" max="10241" width="4.1640625" style="32" customWidth="1"/>
    <col min="10242" max="10242" width="36.1640625" style="32" customWidth="1"/>
    <col min="10243" max="10247" width="12" style="32" bestFit="1" customWidth="1"/>
    <col min="10248" max="10248" width="10.6640625" style="32"/>
    <col min="10249" max="10249" width="19.6640625" style="32" bestFit="1" customWidth="1"/>
    <col min="10250" max="10253" width="11.5" style="32" bestFit="1" customWidth="1"/>
    <col min="10254" max="10496" width="10.6640625" style="32"/>
    <col min="10497" max="10497" width="4.1640625" style="32" customWidth="1"/>
    <col min="10498" max="10498" width="36.1640625" style="32" customWidth="1"/>
    <col min="10499" max="10503" width="12" style="32" bestFit="1" customWidth="1"/>
    <col min="10504" max="10504" width="10.6640625" style="32"/>
    <col min="10505" max="10505" width="19.6640625" style="32" bestFit="1" customWidth="1"/>
    <col min="10506" max="10509" width="11.5" style="32" bestFit="1" customWidth="1"/>
    <col min="10510" max="10752" width="10.6640625" style="32"/>
    <col min="10753" max="10753" width="4.1640625" style="32" customWidth="1"/>
    <col min="10754" max="10754" width="36.1640625" style="32" customWidth="1"/>
    <col min="10755" max="10759" width="12" style="32" bestFit="1" customWidth="1"/>
    <col min="10760" max="10760" width="10.6640625" style="32"/>
    <col min="10761" max="10761" width="19.6640625" style="32" bestFit="1" customWidth="1"/>
    <col min="10762" max="10765" width="11.5" style="32" bestFit="1" customWidth="1"/>
    <col min="10766" max="11008" width="10.6640625" style="32"/>
    <col min="11009" max="11009" width="4.1640625" style="32" customWidth="1"/>
    <col min="11010" max="11010" width="36.1640625" style="32" customWidth="1"/>
    <col min="11011" max="11015" width="12" style="32" bestFit="1" customWidth="1"/>
    <col min="11016" max="11016" width="10.6640625" style="32"/>
    <col min="11017" max="11017" width="19.6640625" style="32" bestFit="1" customWidth="1"/>
    <col min="11018" max="11021" width="11.5" style="32" bestFit="1" customWidth="1"/>
    <col min="11022" max="11264" width="10.6640625" style="32"/>
    <col min="11265" max="11265" width="4.1640625" style="32" customWidth="1"/>
    <col min="11266" max="11266" width="36.1640625" style="32" customWidth="1"/>
    <col min="11267" max="11271" width="12" style="32" bestFit="1" customWidth="1"/>
    <col min="11272" max="11272" width="10.6640625" style="32"/>
    <col min="11273" max="11273" width="19.6640625" style="32" bestFit="1" customWidth="1"/>
    <col min="11274" max="11277" width="11.5" style="32" bestFit="1" customWidth="1"/>
    <col min="11278" max="11520" width="10.6640625" style="32"/>
    <col min="11521" max="11521" width="4.1640625" style="32" customWidth="1"/>
    <col min="11522" max="11522" width="36.1640625" style="32" customWidth="1"/>
    <col min="11523" max="11527" width="12" style="32" bestFit="1" customWidth="1"/>
    <col min="11528" max="11528" width="10.6640625" style="32"/>
    <col min="11529" max="11529" width="19.6640625" style="32" bestFit="1" customWidth="1"/>
    <col min="11530" max="11533" width="11.5" style="32" bestFit="1" customWidth="1"/>
    <col min="11534" max="11776" width="10.6640625" style="32"/>
    <col min="11777" max="11777" width="4.1640625" style="32" customWidth="1"/>
    <col min="11778" max="11778" width="36.1640625" style="32" customWidth="1"/>
    <col min="11779" max="11783" width="12" style="32" bestFit="1" customWidth="1"/>
    <col min="11784" max="11784" width="10.6640625" style="32"/>
    <col min="11785" max="11785" width="19.6640625" style="32" bestFit="1" customWidth="1"/>
    <col min="11786" max="11789" width="11.5" style="32" bestFit="1" customWidth="1"/>
    <col min="11790" max="12032" width="10.6640625" style="32"/>
    <col min="12033" max="12033" width="4.1640625" style="32" customWidth="1"/>
    <col min="12034" max="12034" width="36.1640625" style="32" customWidth="1"/>
    <col min="12035" max="12039" width="12" style="32" bestFit="1" customWidth="1"/>
    <col min="12040" max="12040" width="10.6640625" style="32"/>
    <col min="12041" max="12041" width="19.6640625" style="32" bestFit="1" customWidth="1"/>
    <col min="12042" max="12045" width="11.5" style="32" bestFit="1" customWidth="1"/>
    <col min="12046" max="12288" width="10.6640625" style="32"/>
    <col min="12289" max="12289" width="4.1640625" style="32" customWidth="1"/>
    <col min="12290" max="12290" width="36.1640625" style="32" customWidth="1"/>
    <col min="12291" max="12295" width="12" style="32" bestFit="1" customWidth="1"/>
    <col min="12296" max="12296" width="10.6640625" style="32"/>
    <col min="12297" max="12297" width="19.6640625" style="32" bestFit="1" customWidth="1"/>
    <col min="12298" max="12301" width="11.5" style="32" bestFit="1" customWidth="1"/>
    <col min="12302" max="12544" width="10.6640625" style="32"/>
    <col min="12545" max="12545" width="4.1640625" style="32" customWidth="1"/>
    <col min="12546" max="12546" width="36.1640625" style="32" customWidth="1"/>
    <col min="12547" max="12551" width="12" style="32" bestFit="1" customWidth="1"/>
    <col min="12552" max="12552" width="10.6640625" style="32"/>
    <col min="12553" max="12553" width="19.6640625" style="32" bestFit="1" customWidth="1"/>
    <col min="12554" max="12557" width="11.5" style="32" bestFit="1" customWidth="1"/>
    <col min="12558" max="12800" width="10.6640625" style="32"/>
    <col min="12801" max="12801" width="4.1640625" style="32" customWidth="1"/>
    <col min="12802" max="12802" width="36.1640625" style="32" customWidth="1"/>
    <col min="12803" max="12807" width="12" style="32" bestFit="1" customWidth="1"/>
    <col min="12808" max="12808" width="10.6640625" style="32"/>
    <col min="12809" max="12809" width="19.6640625" style="32" bestFit="1" customWidth="1"/>
    <col min="12810" max="12813" width="11.5" style="32" bestFit="1" customWidth="1"/>
    <col min="12814" max="13056" width="10.6640625" style="32"/>
    <col min="13057" max="13057" width="4.1640625" style="32" customWidth="1"/>
    <col min="13058" max="13058" width="36.1640625" style="32" customWidth="1"/>
    <col min="13059" max="13063" width="12" style="32" bestFit="1" customWidth="1"/>
    <col min="13064" max="13064" width="10.6640625" style="32"/>
    <col min="13065" max="13065" width="19.6640625" style="32" bestFit="1" customWidth="1"/>
    <col min="13066" max="13069" width="11.5" style="32" bestFit="1" customWidth="1"/>
    <col min="13070" max="13312" width="10.6640625" style="32"/>
    <col min="13313" max="13313" width="4.1640625" style="32" customWidth="1"/>
    <col min="13314" max="13314" width="36.1640625" style="32" customWidth="1"/>
    <col min="13315" max="13319" width="12" style="32" bestFit="1" customWidth="1"/>
    <col min="13320" max="13320" width="10.6640625" style="32"/>
    <col min="13321" max="13321" width="19.6640625" style="32" bestFit="1" customWidth="1"/>
    <col min="13322" max="13325" width="11.5" style="32" bestFit="1" customWidth="1"/>
    <col min="13326" max="13568" width="10.6640625" style="32"/>
    <col min="13569" max="13569" width="4.1640625" style="32" customWidth="1"/>
    <col min="13570" max="13570" width="36.1640625" style="32" customWidth="1"/>
    <col min="13571" max="13575" width="12" style="32" bestFit="1" customWidth="1"/>
    <col min="13576" max="13576" width="10.6640625" style="32"/>
    <col min="13577" max="13577" width="19.6640625" style="32" bestFit="1" customWidth="1"/>
    <col min="13578" max="13581" width="11.5" style="32" bestFit="1" customWidth="1"/>
    <col min="13582" max="13824" width="10.6640625" style="32"/>
    <col min="13825" max="13825" width="4.1640625" style="32" customWidth="1"/>
    <col min="13826" max="13826" width="36.1640625" style="32" customWidth="1"/>
    <col min="13827" max="13831" width="12" style="32" bestFit="1" customWidth="1"/>
    <col min="13832" max="13832" width="10.6640625" style="32"/>
    <col min="13833" max="13833" width="19.6640625" style="32" bestFit="1" customWidth="1"/>
    <col min="13834" max="13837" width="11.5" style="32" bestFit="1" customWidth="1"/>
    <col min="13838" max="14080" width="10.6640625" style="32"/>
    <col min="14081" max="14081" width="4.1640625" style="32" customWidth="1"/>
    <col min="14082" max="14082" width="36.1640625" style="32" customWidth="1"/>
    <col min="14083" max="14087" width="12" style="32" bestFit="1" customWidth="1"/>
    <col min="14088" max="14088" width="10.6640625" style="32"/>
    <col min="14089" max="14089" width="19.6640625" style="32" bestFit="1" customWidth="1"/>
    <col min="14090" max="14093" width="11.5" style="32" bestFit="1" customWidth="1"/>
    <col min="14094" max="14336" width="10.6640625" style="32"/>
    <col min="14337" max="14337" width="4.1640625" style="32" customWidth="1"/>
    <col min="14338" max="14338" width="36.1640625" style="32" customWidth="1"/>
    <col min="14339" max="14343" width="12" style="32" bestFit="1" customWidth="1"/>
    <col min="14344" max="14344" width="10.6640625" style="32"/>
    <col min="14345" max="14345" width="19.6640625" style="32" bestFit="1" customWidth="1"/>
    <col min="14346" max="14349" width="11.5" style="32" bestFit="1" customWidth="1"/>
    <col min="14350" max="14592" width="10.6640625" style="32"/>
    <col min="14593" max="14593" width="4.1640625" style="32" customWidth="1"/>
    <col min="14594" max="14594" width="36.1640625" style="32" customWidth="1"/>
    <col min="14595" max="14599" width="12" style="32" bestFit="1" customWidth="1"/>
    <col min="14600" max="14600" width="10.6640625" style="32"/>
    <col min="14601" max="14601" width="19.6640625" style="32" bestFit="1" customWidth="1"/>
    <col min="14602" max="14605" width="11.5" style="32" bestFit="1" customWidth="1"/>
    <col min="14606" max="14848" width="10.6640625" style="32"/>
    <col min="14849" max="14849" width="4.1640625" style="32" customWidth="1"/>
    <col min="14850" max="14850" width="36.1640625" style="32" customWidth="1"/>
    <col min="14851" max="14855" width="12" style="32" bestFit="1" customWidth="1"/>
    <col min="14856" max="14856" width="10.6640625" style="32"/>
    <col min="14857" max="14857" width="19.6640625" style="32" bestFit="1" customWidth="1"/>
    <col min="14858" max="14861" width="11.5" style="32" bestFit="1" customWidth="1"/>
    <col min="14862" max="15104" width="10.6640625" style="32"/>
    <col min="15105" max="15105" width="4.1640625" style="32" customWidth="1"/>
    <col min="15106" max="15106" width="36.1640625" style="32" customWidth="1"/>
    <col min="15107" max="15111" width="12" style="32" bestFit="1" customWidth="1"/>
    <col min="15112" max="15112" width="10.6640625" style="32"/>
    <col min="15113" max="15113" width="19.6640625" style="32" bestFit="1" customWidth="1"/>
    <col min="15114" max="15117" width="11.5" style="32" bestFit="1" customWidth="1"/>
    <col min="15118" max="15360" width="10.6640625" style="32"/>
    <col min="15361" max="15361" width="4.1640625" style="32" customWidth="1"/>
    <col min="15362" max="15362" width="36.1640625" style="32" customWidth="1"/>
    <col min="15363" max="15367" width="12" style="32" bestFit="1" customWidth="1"/>
    <col min="15368" max="15368" width="10.6640625" style="32"/>
    <col min="15369" max="15369" width="19.6640625" style="32" bestFit="1" customWidth="1"/>
    <col min="15370" max="15373" width="11.5" style="32" bestFit="1" customWidth="1"/>
    <col min="15374" max="15616" width="10.6640625" style="32"/>
    <col min="15617" max="15617" width="4.1640625" style="32" customWidth="1"/>
    <col min="15618" max="15618" width="36.1640625" style="32" customWidth="1"/>
    <col min="15619" max="15623" width="12" style="32" bestFit="1" customWidth="1"/>
    <col min="15624" max="15624" width="10.6640625" style="32"/>
    <col min="15625" max="15625" width="19.6640625" style="32" bestFit="1" customWidth="1"/>
    <col min="15626" max="15629" width="11.5" style="32" bestFit="1" customWidth="1"/>
    <col min="15630" max="15872" width="10.6640625" style="32"/>
    <col min="15873" max="15873" width="4.1640625" style="32" customWidth="1"/>
    <col min="15874" max="15874" width="36.1640625" style="32" customWidth="1"/>
    <col min="15875" max="15879" width="12" style="32" bestFit="1" customWidth="1"/>
    <col min="15880" max="15880" width="10.6640625" style="32"/>
    <col min="15881" max="15881" width="19.6640625" style="32" bestFit="1" customWidth="1"/>
    <col min="15882" max="15885" width="11.5" style="32" bestFit="1" customWidth="1"/>
    <col min="15886" max="16128" width="10.6640625" style="32"/>
    <col min="16129" max="16129" width="4.1640625" style="32" customWidth="1"/>
    <col min="16130" max="16130" width="36.1640625" style="32" customWidth="1"/>
    <col min="16131" max="16135" width="12" style="32" bestFit="1" customWidth="1"/>
    <col min="16136" max="16136" width="10.6640625" style="32"/>
    <col min="16137" max="16137" width="19.6640625" style="32" bestFit="1" customWidth="1"/>
    <col min="16138" max="16141" width="11.5" style="32" bestFit="1" customWidth="1"/>
    <col min="16142" max="16384" width="10.6640625" style="32"/>
  </cols>
  <sheetData>
    <row r="1" spans="2:14">
      <c r="B1" s="33" t="s">
        <v>231</v>
      </c>
      <c r="C1" s="34"/>
    </row>
    <row r="2" spans="2:14">
      <c r="B2" s="33" t="s">
        <v>203</v>
      </c>
    </row>
    <row r="4" spans="2:14" ht="14" thickBot="1">
      <c r="B4" s="35" t="s">
        <v>204</v>
      </c>
      <c r="C4" s="71">
        <v>43465</v>
      </c>
      <c r="D4" s="71">
        <v>43830</v>
      </c>
      <c r="E4" s="71">
        <v>44196</v>
      </c>
      <c r="F4" s="71">
        <v>44561</v>
      </c>
      <c r="G4" s="71">
        <v>44926</v>
      </c>
    </row>
    <row r="5" spans="2:14" ht="14" thickTop="1">
      <c r="B5" s="36" t="s">
        <v>141</v>
      </c>
      <c r="C5" s="37">
        <f>'Income Statement'!B17</f>
        <v>4965.1000000000004</v>
      </c>
      <c r="D5" s="37">
        <f>'Income Statement'!C17</f>
        <v>5333.7</v>
      </c>
      <c r="E5" s="37">
        <f>'Income Statement'!D17</f>
        <v>5647.3</v>
      </c>
      <c r="F5" s="37">
        <f>'Income Statement'!E17</f>
        <v>6010.9</v>
      </c>
      <c r="G5" s="37">
        <f>'Income Statement'!F17</f>
        <v>6980.6</v>
      </c>
    </row>
    <row r="6" spans="2:14">
      <c r="B6" s="36" t="s">
        <v>205</v>
      </c>
      <c r="C6" s="37">
        <f>'Income Statement'!B21-'Cash Flow'!B20</f>
        <v>2428</v>
      </c>
      <c r="D6" s="37">
        <f>'Income Statement'!C21-'Cash Flow'!C20</f>
        <v>2669.6000000000004</v>
      </c>
      <c r="E6" s="37">
        <f>'Income Statement'!D21-'Cash Flow'!D20</f>
        <v>2917.1</v>
      </c>
      <c r="F6" s="37">
        <f>'Income Statement'!E21-'Cash Flow'!E20</f>
        <v>3063</v>
      </c>
      <c r="G6" s="37">
        <f>'Income Statement'!F21-'Cash Flow'!F20</f>
        <v>3588.2000000000003</v>
      </c>
      <c r="I6" s="36"/>
      <c r="J6" s="38"/>
      <c r="K6" s="38"/>
      <c r="L6" s="38"/>
      <c r="M6" s="38"/>
      <c r="N6" s="38"/>
    </row>
    <row r="7" spans="2:14">
      <c r="B7" s="39" t="s">
        <v>206</v>
      </c>
      <c r="C7" s="40">
        <f>C5-C6</f>
        <v>2537.1000000000004</v>
      </c>
      <c r="D7" s="40">
        <f>D5-D6</f>
        <v>2664.0999999999995</v>
      </c>
      <c r="E7" s="40">
        <f>E5-E6</f>
        <v>2730.2000000000003</v>
      </c>
      <c r="F7" s="40">
        <f>F5-F6</f>
        <v>2947.8999999999996</v>
      </c>
      <c r="G7" s="40">
        <f>G5-G6</f>
        <v>3392.4</v>
      </c>
      <c r="I7" s="36"/>
      <c r="J7" s="38"/>
      <c r="K7" s="38"/>
      <c r="L7" s="38"/>
      <c r="M7" s="38"/>
      <c r="N7" s="38"/>
    </row>
    <row r="8" spans="2:14">
      <c r="B8" s="36"/>
      <c r="C8" s="41"/>
      <c r="D8" s="41"/>
      <c r="E8" s="41"/>
      <c r="F8" s="41"/>
      <c r="G8" s="41"/>
      <c r="I8" s="36"/>
      <c r="J8" s="38"/>
      <c r="K8" s="38"/>
      <c r="L8" s="38"/>
      <c r="M8" s="38"/>
      <c r="N8" s="38"/>
    </row>
    <row r="9" spans="2:14">
      <c r="B9" s="36" t="s">
        <v>146</v>
      </c>
      <c r="C9" s="37">
        <f>'Income Statement'!B24</f>
        <v>1400.2</v>
      </c>
      <c r="D9" s="37">
        <f>'Income Statement'!C24</f>
        <v>1458.2</v>
      </c>
      <c r="E9" s="37">
        <f>'Income Statement'!D24</f>
        <v>1426</v>
      </c>
      <c r="F9" s="37">
        <f>'Income Statement'!E24</f>
        <v>1559.8</v>
      </c>
      <c r="G9" s="37">
        <f>'Income Statement'!F24</f>
        <v>1762.2</v>
      </c>
    </row>
    <row r="10" spans="2:14">
      <c r="B10" s="36" t="s">
        <v>148</v>
      </c>
      <c r="C10" s="42">
        <v>0</v>
      </c>
      <c r="D10" s="42">
        <v>0</v>
      </c>
      <c r="E10" s="42">
        <v>0</v>
      </c>
      <c r="F10" s="42">
        <v>0</v>
      </c>
      <c r="G10" s="42">
        <v>0</v>
      </c>
    </row>
    <row r="11" spans="2:14">
      <c r="B11" s="39" t="s">
        <v>207</v>
      </c>
      <c r="C11" s="43">
        <f>C7-SUM(C9+C10)</f>
        <v>1136.9000000000003</v>
      </c>
      <c r="D11" s="43">
        <f>D7-SUM(D9+D10)</f>
        <v>1205.8999999999994</v>
      </c>
      <c r="E11" s="43">
        <f>E7-SUM(E9+E10)</f>
        <v>1304.2000000000003</v>
      </c>
      <c r="F11" s="43">
        <f>F7-SUM(F9+F10)</f>
        <v>1388.0999999999997</v>
      </c>
      <c r="G11" s="43">
        <f>G7-SUM(G9+G10)</f>
        <v>1630.2</v>
      </c>
      <c r="I11" s="37"/>
      <c r="J11" s="37"/>
      <c r="K11" s="37"/>
      <c r="L11" s="37"/>
      <c r="M11" s="37"/>
    </row>
    <row r="12" spans="2:14">
      <c r="B12" s="36"/>
      <c r="C12" s="36"/>
      <c r="D12" s="36"/>
      <c r="E12" s="36"/>
      <c r="F12" s="36"/>
      <c r="G12" s="36"/>
    </row>
    <row r="13" spans="2:14">
      <c r="B13" s="36" t="s">
        <v>208</v>
      </c>
      <c r="C13" s="37">
        <f>'Cash Flow'!B18</f>
        <v>134.1</v>
      </c>
      <c r="D13" s="37">
        <f>'Cash Flow'!C18</f>
        <v>144.6</v>
      </c>
      <c r="E13" s="37">
        <f>'Cash Flow'!D18</f>
        <v>153.30000000000001</v>
      </c>
      <c r="F13" s="37">
        <f>'Cash Flow'!E18</f>
        <v>159.9</v>
      </c>
      <c r="G13" s="37">
        <f>'Cash Flow'!F18</f>
        <v>165.9</v>
      </c>
    </row>
    <row r="14" spans="2:14">
      <c r="B14" s="36" t="s">
        <v>209</v>
      </c>
      <c r="C14" s="44">
        <f>'Cash Flow'!B19</f>
        <v>4.0999999999999996</v>
      </c>
      <c r="D14" s="44">
        <f>'Cash Flow'!C19</f>
        <v>4.0999999999999996</v>
      </c>
      <c r="E14" s="44">
        <f>'Cash Flow'!D19</f>
        <v>9.1</v>
      </c>
      <c r="F14" s="44">
        <f>'Cash Flow'!E19</f>
        <v>10.8</v>
      </c>
      <c r="G14" s="44">
        <f>'Cash Flow'!F19</f>
        <v>10.7</v>
      </c>
    </row>
    <row r="15" spans="2:14">
      <c r="B15" s="39" t="s">
        <v>210</v>
      </c>
      <c r="C15" s="45">
        <f>C11-SUM(C13:C14)</f>
        <v>998.70000000000027</v>
      </c>
      <c r="D15" s="45">
        <f>D11-SUM(D13:D14)</f>
        <v>1057.1999999999994</v>
      </c>
      <c r="E15" s="45">
        <f>E11-SUM(E13:E14)</f>
        <v>1141.8000000000002</v>
      </c>
      <c r="F15" s="45">
        <f>F11-SUM(F13:F14)</f>
        <v>1217.3999999999996</v>
      </c>
      <c r="G15" s="45">
        <f>G11-SUM(G13:G14)</f>
        <v>1453.6000000000001</v>
      </c>
    </row>
    <row r="16" spans="2:14">
      <c r="B16" s="36"/>
      <c r="C16" s="36"/>
      <c r="D16" s="36"/>
      <c r="E16" s="36"/>
      <c r="F16" s="36"/>
      <c r="G16" s="36"/>
    </row>
    <row r="17" spans="2:13">
      <c r="B17" s="36" t="s">
        <v>151</v>
      </c>
      <c r="C17" s="37">
        <f>'Income Statement'!B33</f>
        <v>-12.6</v>
      </c>
      <c r="D17" s="37">
        <f>'Income Statement'!C33</f>
        <v>-13.9</v>
      </c>
      <c r="E17" s="37">
        <f>'Income Statement'!D33</f>
        <v>-9.6999999999999993</v>
      </c>
      <c r="F17" s="37">
        <f>'Income Statement'!E33</f>
        <v>-9.6999999999999993</v>
      </c>
      <c r="G17" s="37">
        <f>'Income Statement'!F33</f>
        <v>-14.3</v>
      </c>
    </row>
    <row r="18" spans="2:13">
      <c r="B18" s="36" t="s">
        <v>152</v>
      </c>
      <c r="C18" s="46">
        <f>'Income Statement'!B34</f>
        <v>0.4</v>
      </c>
      <c r="D18" s="46">
        <f>'Income Statement'!C34</f>
        <v>0.4</v>
      </c>
      <c r="E18" s="46">
        <f>'Income Statement'!D34</f>
        <v>0.6</v>
      </c>
      <c r="F18" s="46">
        <f>'Income Statement'!E34</f>
        <v>0.1</v>
      </c>
      <c r="G18" s="46">
        <f>'Income Statement'!F34</f>
        <v>0.7</v>
      </c>
    </row>
    <row r="19" spans="2:13">
      <c r="B19" s="36" t="s">
        <v>211</v>
      </c>
      <c r="C19" s="47" t="str">
        <f>'Income Statement'!B37</f>
        <v>-</v>
      </c>
      <c r="D19" s="47" t="str">
        <f>'Income Statement'!C37</f>
        <v>-</v>
      </c>
      <c r="E19" s="47" t="str">
        <f>'Income Statement'!D37</f>
        <v>-</v>
      </c>
      <c r="F19" s="47" t="str">
        <f>'Income Statement'!E37</f>
        <v>-</v>
      </c>
      <c r="G19" s="47" t="str">
        <f>'Income Statement'!F37</f>
        <v>-</v>
      </c>
    </row>
    <row r="20" spans="2:13">
      <c r="B20" s="36" t="s">
        <v>212</v>
      </c>
      <c r="C20" s="46">
        <v>0</v>
      </c>
      <c r="D20" s="46">
        <v>0</v>
      </c>
      <c r="E20" s="46">
        <v>0</v>
      </c>
      <c r="F20" s="46">
        <v>0</v>
      </c>
      <c r="G20" s="46">
        <v>0</v>
      </c>
    </row>
    <row r="21" spans="2:13">
      <c r="B21" s="36" t="s">
        <v>213</v>
      </c>
      <c r="C21" s="46">
        <f>SUM('Income Statement'!B40:B42)</f>
        <v>0.5</v>
      </c>
      <c r="D21" s="46">
        <f>SUM('Income Statement'!C40:C42)</f>
        <v>0</v>
      </c>
      <c r="E21" s="46">
        <f>SUM('Income Statement'!D40:D42)</f>
        <v>0</v>
      </c>
      <c r="F21" s="46">
        <f>SUM('Income Statement'!E40:E42)</f>
        <v>0</v>
      </c>
      <c r="G21" s="46">
        <f>SUM('Income Statement'!F40:F42)</f>
        <v>0</v>
      </c>
    </row>
    <row r="22" spans="2:13">
      <c r="B22" s="39" t="s">
        <v>214</v>
      </c>
      <c r="C22" s="48">
        <f>C15+SUM(C17:C21)</f>
        <v>987.00000000000023</v>
      </c>
      <c r="D22" s="48">
        <f>D15+SUM(D17:D21)</f>
        <v>1043.6999999999994</v>
      </c>
      <c r="E22" s="48">
        <f>E15+SUM(E17:E21)</f>
        <v>1132.7000000000003</v>
      </c>
      <c r="F22" s="48">
        <f>F15+SUM(F17:F21)</f>
        <v>1207.7999999999997</v>
      </c>
      <c r="G22" s="48">
        <f>G15+SUM(G17:G21)</f>
        <v>1440.0000000000002</v>
      </c>
    </row>
    <row r="23" spans="2:13">
      <c r="B23" s="36"/>
      <c r="C23" s="21"/>
      <c r="D23" s="21"/>
      <c r="E23" s="21"/>
      <c r="F23" s="21"/>
      <c r="G23" s="21"/>
    </row>
    <row r="24" spans="2:13">
      <c r="B24" s="36" t="s">
        <v>160</v>
      </c>
      <c r="C24" s="37">
        <f>'Income Statement'!B45</f>
        <v>235.1</v>
      </c>
      <c r="D24" s="37">
        <f>'Income Statement'!C45</f>
        <v>252.8</v>
      </c>
      <c r="E24" s="37">
        <f>'Income Statement'!D45</f>
        <v>273.60000000000002</v>
      </c>
      <c r="F24" s="37">
        <f>'Income Statement'!E45</f>
        <v>282.8</v>
      </c>
      <c r="G24" s="37">
        <f>'Income Statement'!F45</f>
        <v>353.1</v>
      </c>
    </row>
    <row r="25" spans="2:13">
      <c r="B25" s="36" t="s">
        <v>165</v>
      </c>
      <c r="C25" s="46">
        <f>'Income Statement'!B52</f>
        <v>0</v>
      </c>
      <c r="D25" s="46">
        <f>'Income Statement'!C52</f>
        <v>0</v>
      </c>
      <c r="E25" s="46">
        <f>'Income Statement'!D52</f>
        <v>0</v>
      </c>
      <c r="F25" s="46">
        <f>'Income Statement'!E52</f>
        <v>0</v>
      </c>
      <c r="G25" s="46">
        <f>'Income Statement'!F52</f>
        <v>0</v>
      </c>
    </row>
    <row r="26" spans="2:13" ht="15">
      <c r="B26" s="39" t="s">
        <v>215</v>
      </c>
      <c r="C26" s="49">
        <f>C22-C24+C25</f>
        <v>751.9000000000002</v>
      </c>
      <c r="D26" s="49">
        <f>D22-D24+D25</f>
        <v>790.89999999999941</v>
      </c>
      <c r="E26" s="49">
        <f>E22-E24+E25</f>
        <v>859.10000000000025</v>
      </c>
      <c r="F26" s="49">
        <f>F22-F24+F25</f>
        <v>924.99999999999977</v>
      </c>
      <c r="G26" s="49">
        <f>G22-G24+G25</f>
        <v>1086.9000000000001</v>
      </c>
      <c r="I26" s="50"/>
      <c r="J26" s="50"/>
      <c r="K26" s="50"/>
      <c r="L26" s="50"/>
      <c r="M26" s="51"/>
    </row>
    <row r="27" spans="2:13">
      <c r="B27" s="36"/>
      <c r="C27" s="21"/>
      <c r="D27" s="21"/>
      <c r="E27" s="21"/>
      <c r="F27" s="21"/>
      <c r="G27" s="21"/>
    </row>
    <row r="28" spans="2:13">
      <c r="B28" s="36" t="s">
        <v>216</v>
      </c>
      <c r="C28" s="37">
        <f>'Cash Flow'!B53</f>
        <v>-441.9</v>
      </c>
      <c r="D28" s="37">
        <f>'Cash Flow'!C53</f>
        <v>-498.6</v>
      </c>
      <c r="E28" s="37">
        <f>'Cash Flow'!D53</f>
        <v>-573.9</v>
      </c>
      <c r="F28" s="37">
        <f>'Cash Flow'!E53</f>
        <v>-643.70000000000005</v>
      </c>
      <c r="G28" s="37">
        <f>'Cash Flow'!F53</f>
        <v>-711.3</v>
      </c>
      <c r="I28" s="50"/>
      <c r="J28" s="50"/>
      <c r="K28" s="50"/>
      <c r="L28" s="50"/>
      <c r="M28" s="50"/>
    </row>
    <row r="29" spans="2:13">
      <c r="B29" s="36" t="s">
        <v>331</v>
      </c>
      <c r="C29" s="37">
        <f>'Cash Flow'!B50</f>
        <v>-103</v>
      </c>
      <c r="D29" s="37">
        <v>0</v>
      </c>
      <c r="E29" s="37">
        <f>'Cash Flow'!D50</f>
        <v>-52</v>
      </c>
      <c r="F29" s="37">
        <v>0</v>
      </c>
      <c r="G29" s="37">
        <f>'Cash Flow'!F50</f>
        <v>-237.8</v>
      </c>
      <c r="I29" s="50"/>
      <c r="J29" s="50"/>
      <c r="K29" s="50"/>
      <c r="L29" s="50"/>
      <c r="M29" s="50"/>
    </row>
    <row r="30" spans="2:13">
      <c r="B30" s="39" t="s">
        <v>217</v>
      </c>
      <c r="C30" s="52">
        <f>C26+C28+C29</f>
        <v>207.00000000000023</v>
      </c>
      <c r="D30" s="52">
        <f t="shared" ref="D30:G30" si="0">D26+D28+D29</f>
        <v>292.29999999999939</v>
      </c>
      <c r="E30" s="52">
        <f t="shared" si="0"/>
        <v>233.20000000000027</v>
      </c>
      <c r="F30" s="52">
        <f t="shared" si="0"/>
        <v>281.29999999999973</v>
      </c>
      <c r="G30" s="52">
        <f t="shared" si="0"/>
        <v>137.80000000000013</v>
      </c>
      <c r="I30" s="53"/>
      <c r="J30" s="53"/>
      <c r="K30" s="53"/>
      <c r="L30" s="53"/>
      <c r="M30" s="53"/>
    </row>
    <row r="31" spans="2:13">
      <c r="B31" s="39"/>
      <c r="C31" s="54"/>
      <c r="D31" s="54"/>
      <c r="E31" s="54"/>
      <c r="F31" s="54"/>
      <c r="G31" s="54"/>
      <c r="I31" s="53"/>
      <c r="J31" s="53"/>
      <c r="K31" s="53"/>
      <c r="L31" s="53"/>
      <c r="M31" s="53"/>
    </row>
    <row r="32" spans="2:13">
      <c r="B32" s="39"/>
      <c r="C32" s="55"/>
      <c r="D32" s="55"/>
      <c r="E32" s="55"/>
      <c r="F32" s="55"/>
      <c r="G32" s="55"/>
    </row>
    <row r="33" spans="2:7" ht="14" thickBot="1">
      <c r="B33" s="39" t="s">
        <v>218</v>
      </c>
      <c r="C33" s="71">
        <v>43465</v>
      </c>
      <c r="D33" s="71">
        <v>43830</v>
      </c>
      <c r="E33" s="71">
        <v>44196</v>
      </c>
      <c r="F33" s="71">
        <v>44561</v>
      </c>
      <c r="G33" s="71">
        <v>44926</v>
      </c>
    </row>
    <row r="34" spans="2:7" ht="14" thickTop="1">
      <c r="B34" s="39" t="s">
        <v>23</v>
      </c>
      <c r="C34" s="39"/>
      <c r="D34" s="39"/>
      <c r="E34" s="39"/>
      <c r="F34" s="39"/>
      <c r="G34" s="39"/>
    </row>
    <row r="35" spans="2:7">
      <c r="B35" s="36" t="s">
        <v>219</v>
      </c>
      <c r="C35" s="56">
        <f>'Balance Sheet'!B17</f>
        <v>167.2</v>
      </c>
      <c r="D35" s="56">
        <f>'Balance Sheet'!C17</f>
        <v>174.9</v>
      </c>
      <c r="E35" s="56">
        <f>'Balance Sheet'!D17</f>
        <v>245.7</v>
      </c>
      <c r="F35" s="56">
        <f>'Balance Sheet'!E17</f>
        <v>236.2</v>
      </c>
      <c r="G35" s="56">
        <f>'Balance Sheet'!F17</f>
        <v>230.1</v>
      </c>
    </row>
    <row r="36" spans="2:7">
      <c r="B36" s="36" t="s">
        <v>26</v>
      </c>
      <c r="C36" s="56">
        <f>'Balance Sheet'!B20</f>
        <v>714.3</v>
      </c>
      <c r="D36" s="56">
        <f>'Balance Sheet'!C20</f>
        <v>741.8</v>
      </c>
      <c r="E36" s="56">
        <f>'Balance Sheet'!D20</f>
        <v>769.4</v>
      </c>
      <c r="F36" s="56">
        <f>'Balance Sheet'!E20</f>
        <v>900.2</v>
      </c>
      <c r="G36" s="56">
        <f>'Balance Sheet'!F20</f>
        <v>1013.2</v>
      </c>
    </row>
    <row r="37" spans="2:7">
      <c r="B37" s="36" t="s">
        <v>220</v>
      </c>
      <c r="C37" s="56">
        <v>0</v>
      </c>
      <c r="D37" s="56">
        <v>0</v>
      </c>
      <c r="E37" s="56">
        <v>0</v>
      </c>
      <c r="F37" s="56">
        <v>0</v>
      </c>
      <c r="G37" s="56">
        <v>0</v>
      </c>
    </row>
    <row r="38" spans="2:7">
      <c r="B38" s="36" t="s">
        <v>221</v>
      </c>
      <c r="C38" s="56">
        <f>'Balance Sheet'!B23</f>
        <v>1278.7</v>
      </c>
      <c r="D38" s="56">
        <f>'Balance Sheet'!C23</f>
        <v>1366.4</v>
      </c>
      <c r="E38" s="56">
        <f>'Balance Sheet'!D23</f>
        <v>1337.5</v>
      </c>
      <c r="F38" s="56">
        <f>'Balance Sheet'!E23</f>
        <v>1523.6</v>
      </c>
      <c r="G38" s="56">
        <f>'Balance Sheet'!F23</f>
        <v>1708</v>
      </c>
    </row>
    <row r="39" spans="2:7">
      <c r="B39" s="36" t="s">
        <v>29</v>
      </c>
      <c r="C39" s="57">
        <f>'Balance Sheet'!B24</f>
        <v>156</v>
      </c>
      <c r="D39" s="57">
        <f>'Balance Sheet'!C24</f>
        <v>174.1</v>
      </c>
      <c r="E39" s="57">
        <f>'Balance Sheet'!D24</f>
        <v>147</v>
      </c>
      <c r="F39" s="57">
        <f>'Balance Sheet'!E24</f>
        <v>196.6</v>
      </c>
      <c r="G39" s="57">
        <f>'Balance Sheet'!F24</f>
        <v>173.5</v>
      </c>
    </row>
    <row r="40" spans="2:7" s="34" customFormat="1">
      <c r="B40" s="39" t="s">
        <v>222</v>
      </c>
      <c r="C40" s="58">
        <f>SUM(C35:C39)</f>
        <v>2316.1999999999998</v>
      </c>
      <c r="D40" s="58">
        <f>SUM(D35:D39)</f>
        <v>2457.1999999999998</v>
      </c>
      <c r="E40" s="58">
        <f>SUM(E35:E39)</f>
        <v>2499.6</v>
      </c>
      <c r="F40" s="58">
        <f>SUM(F35:F39)</f>
        <v>2856.6</v>
      </c>
      <c r="G40" s="58">
        <f>SUM(G35:G39)</f>
        <v>3124.8</v>
      </c>
    </row>
    <row r="41" spans="2:7">
      <c r="B41" s="36"/>
      <c r="C41" s="56"/>
      <c r="D41" s="56"/>
      <c r="E41" s="56"/>
      <c r="F41" s="56"/>
      <c r="G41" s="56"/>
    </row>
    <row r="42" spans="2:7">
      <c r="B42" s="36" t="s">
        <v>31</v>
      </c>
      <c r="C42" s="56">
        <f>'Balance Sheet'!B27</f>
        <v>1746.2</v>
      </c>
      <c r="D42" s="56">
        <f>'Balance Sheet'!C27</f>
        <v>2210.1</v>
      </c>
      <c r="E42" s="56">
        <f>'Balance Sheet'!D27</f>
        <v>2327.6</v>
      </c>
      <c r="F42" s="56">
        <f>'Balance Sheet'!E27</f>
        <v>2439.5</v>
      </c>
      <c r="G42" s="56">
        <f>'Balance Sheet'!F27</f>
        <v>2554.4</v>
      </c>
    </row>
    <row r="43" spans="2:7">
      <c r="B43" s="36" t="s">
        <v>32</v>
      </c>
      <c r="C43" s="57">
        <f>'Balance Sheet'!B28</f>
        <v>-821.4</v>
      </c>
      <c r="D43" s="57">
        <f>'Balance Sheet'!C28</f>
        <v>-943.7</v>
      </c>
      <c r="E43" s="57">
        <f>'Balance Sheet'!D28</f>
        <v>-1053.9000000000001</v>
      </c>
      <c r="F43" s="57">
        <f>'Balance Sheet'!E28</f>
        <v>-1178</v>
      </c>
      <c r="G43" s="57">
        <f>'Balance Sheet'!F28</f>
        <v>-1301.4000000000001</v>
      </c>
    </row>
    <row r="44" spans="2:7" s="34" customFormat="1">
      <c r="B44" s="39" t="s">
        <v>223</v>
      </c>
      <c r="C44" s="58">
        <f>C42+C43</f>
        <v>924.80000000000007</v>
      </c>
      <c r="D44" s="58">
        <f>D42+D43</f>
        <v>1266.3999999999999</v>
      </c>
      <c r="E44" s="58">
        <f>E42+E43</f>
        <v>1273.6999999999998</v>
      </c>
      <c r="F44" s="58">
        <f>F42+F43</f>
        <v>1261.5</v>
      </c>
      <c r="G44" s="58">
        <f>G42+G43</f>
        <v>1253</v>
      </c>
    </row>
    <row r="45" spans="2:7">
      <c r="B45" s="36"/>
      <c r="C45" s="56"/>
      <c r="D45" s="56"/>
      <c r="E45" s="56"/>
      <c r="F45" s="56"/>
      <c r="G45" s="56"/>
    </row>
    <row r="46" spans="2:7">
      <c r="B46" s="36" t="s">
        <v>224</v>
      </c>
      <c r="C46" s="56">
        <v>0</v>
      </c>
      <c r="D46" s="56">
        <v>0</v>
      </c>
      <c r="E46" s="56">
        <v>0</v>
      </c>
      <c r="F46" s="56">
        <v>0</v>
      </c>
      <c r="G46" s="56">
        <v>0</v>
      </c>
    </row>
    <row r="47" spans="2:7">
      <c r="B47" s="36" t="s">
        <v>225</v>
      </c>
      <c r="C47" s="56">
        <v>0</v>
      </c>
      <c r="D47" s="56">
        <v>0</v>
      </c>
      <c r="E47" s="56">
        <v>0</v>
      </c>
      <c r="F47" s="56">
        <v>0</v>
      </c>
      <c r="G47" s="56">
        <v>0</v>
      </c>
    </row>
    <row r="48" spans="2:7">
      <c r="B48" s="36" t="s">
        <v>226</v>
      </c>
      <c r="C48" s="56">
        <v>0</v>
      </c>
      <c r="D48" s="56">
        <v>0</v>
      </c>
      <c r="E48" s="56">
        <v>0</v>
      </c>
      <c r="F48" s="56">
        <v>0</v>
      </c>
      <c r="G48" s="56">
        <v>0</v>
      </c>
    </row>
    <row r="49" spans="2:13">
      <c r="B49" s="36" t="s">
        <v>34</v>
      </c>
      <c r="C49" s="57">
        <f>'Balance Sheet'!B31</f>
        <v>80.5</v>
      </c>
      <c r="D49" s="57">
        <f>'Balance Sheet'!C31</f>
        <v>76.3</v>
      </c>
      <c r="E49" s="57">
        <f>'Balance Sheet'!D31</f>
        <v>191.4</v>
      </c>
      <c r="F49" s="57">
        <f>'Balance Sheet'!E31</f>
        <v>180.9</v>
      </c>
      <c r="G49" s="57">
        <f>'Balance Sheet'!F31</f>
        <v>170.8</v>
      </c>
    </row>
    <row r="50" spans="2:13" s="34" customFormat="1" ht="16">
      <c r="B50" s="39" t="s">
        <v>35</v>
      </c>
      <c r="C50" s="59">
        <f>C40+C44+SUM(C46:C49)</f>
        <v>3321.5</v>
      </c>
      <c r="D50" s="59">
        <f>D40+D44+SUM(D46:D49)</f>
        <v>3799.8999999999996</v>
      </c>
      <c r="E50" s="59">
        <f>E40+E44+SUM(E46:E49)</f>
        <v>3964.7</v>
      </c>
      <c r="F50" s="59">
        <f>F40+F44+SUM(F46:F49)</f>
        <v>4299</v>
      </c>
      <c r="G50" s="59">
        <f>G40+G44+SUM(G46:G49)</f>
        <v>4548.6000000000004</v>
      </c>
    </row>
    <row r="51" spans="2:13">
      <c r="B51" s="36"/>
      <c r="C51" s="60"/>
      <c r="D51" s="60"/>
      <c r="E51" s="60"/>
      <c r="F51" s="60"/>
      <c r="G51" s="60"/>
    </row>
    <row r="52" spans="2:13">
      <c r="B52" s="39" t="s">
        <v>36</v>
      </c>
      <c r="C52" s="56"/>
      <c r="D52" s="56"/>
      <c r="E52" s="56"/>
      <c r="F52" s="56"/>
      <c r="G52" s="56"/>
    </row>
    <row r="53" spans="2:13">
      <c r="B53" s="36" t="s">
        <v>37</v>
      </c>
      <c r="C53" s="56">
        <f>'Balance Sheet'!B35</f>
        <v>193.6</v>
      </c>
      <c r="D53" s="56">
        <f>'Balance Sheet'!C35</f>
        <v>192.8</v>
      </c>
      <c r="E53" s="56">
        <f>'Balance Sheet'!D35</f>
        <v>207</v>
      </c>
      <c r="F53" s="56">
        <f>'Balance Sheet'!E35</f>
        <v>233.1</v>
      </c>
      <c r="G53" s="56">
        <f>'Balance Sheet'!F35</f>
        <v>255</v>
      </c>
    </row>
    <row r="54" spans="2:13">
      <c r="B54" s="36" t="s">
        <v>38</v>
      </c>
      <c r="C54" s="56">
        <f>'Balance Sheet'!B36</f>
        <v>240.8</v>
      </c>
      <c r="D54" s="56">
        <f>'Balance Sheet'!C36</f>
        <v>251.5</v>
      </c>
      <c r="E54" s="56">
        <f>'Balance Sheet'!D36</f>
        <v>272.10000000000002</v>
      </c>
      <c r="F54" s="56">
        <f>'Balance Sheet'!E36</f>
        <v>298.3</v>
      </c>
      <c r="G54" s="56">
        <f>'Balance Sheet'!F36</f>
        <v>241.1</v>
      </c>
    </row>
    <row r="55" spans="2:13">
      <c r="B55" s="36" t="s">
        <v>227</v>
      </c>
      <c r="C55" s="56">
        <v>0</v>
      </c>
      <c r="D55" s="56">
        <v>0</v>
      </c>
      <c r="E55" s="56">
        <v>0</v>
      </c>
      <c r="F55" s="56">
        <v>0</v>
      </c>
      <c r="G55" s="56">
        <v>0</v>
      </c>
    </row>
    <row r="56" spans="2:13">
      <c r="B56" s="36" t="s">
        <v>39</v>
      </c>
      <c r="C56" s="56">
        <f>'Balance Sheet'!B37+'Balance Sheet'!B38</f>
        <v>3</v>
      </c>
      <c r="D56" s="56">
        <f>'Balance Sheet'!C37+'Balance Sheet'!C38</f>
        <v>100.4</v>
      </c>
      <c r="E56" s="56">
        <f>'Balance Sheet'!D37+'Balance Sheet'!D38</f>
        <v>133.6</v>
      </c>
      <c r="F56" s="56">
        <f>'Balance Sheet'!E37+'Balance Sheet'!E38</f>
        <v>150.80000000000001</v>
      </c>
      <c r="G56" s="56">
        <f>'Balance Sheet'!F37+'Balance Sheet'!F38</f>
        <v>293.70000000000005</v>
      </c>
    </row>
    <row r="57" spans="2:13">
      <c r="B57" s="36" t="s">
        <v>42</v>
      </c>
      <c r="C57" s="57" t="str">
        <f>'Balance Sheet'!B39</f>
        <v>-</v>
      </c>
      <c r="D57" s="57" t="str">
        <f>'Balance Sheet'!C39</f>
        <v>-</v>
      </c>
      <c r="E57" s="57" t="str">
        <f>'Balance Sheet'!D39</f>
        <v>-</v>
      </c>
      <c r="F57" s="57" t="str">
        <f>'Balance Sheet'!E39</f>
        <v>-</v>
      </c>
      <c r="G57" s="57" t="str">
        <f>'Balance Sheet'!F39</f>
        <v>-</v>
      </c>
    </row>
    <row r="58" spans="2:13" s="34" customFormat="1">
      <c r="B58" s="39" t="s">
        <v>228</v>
      </c>
      <c r="C58" s="58">
        <f>SUM(C53:C57)</f>
        <v>437.4</v>
      </c>
      <c r="D58" s="58">
        <f>SUM(D53:D57)</f>
        <v>544.70000000000005</v>
      </c>
      <c r="E58" s="58">
        <f>SUM(E53:E57)</f>
        <v>612.70000000000005</v>
      </c>
      <c r="F58" s="58">
        <f>SUM(F53:F57)</f>
        <v>682.2</v>
      </c>
      <c r="G58" s="58">
        <f>SUM(G53:G57)</f>
        <v>789.80000000000007</v>
      </c>
    </row>
    <row r="59" spans="2:13">
      <c r="B59" s="36"/>
      <c r="C59" s="56"/>
      <c r="D59" s="56"/>
      <c r="E59" s="56"/>
      <c r="F59" s="56"/>
      <c r="G59" s="56"/>
    </row>
    <row r="60" spans="2:13">
      <c r="B60" s="36" t="s">
        <v>44</v>
      </c>
      <c r="C60" s="56">
        <f>'Balance Sheet'!B42+'Balance Sheet'!B43</f>
        <v>497</v>
      </c>
      <c r="D60" s="56">
        <f>'Balance Sheet'!C42+'Balance Sheet'!C43</f>
        <v>490.2</v>
      </c>
      <c r="E60" s="56">
        <f>'Balance Sheet'!D42+'Balance Sheet'!D43</f>
        <v>516.5</v>
      </c>
      <c r="F60" s="56">
        <f>'Balance Sheet'!E42+'Balance Sheet'!E43</f>
        <v>486</v>
      </c>
      <c r="G60" s="56">
        <f>'Balance Sheet'!F42+'Balance Sheet'!F43</f>
        <v>508.4</v>
      </c>
    </row>
    <row r="61" spans="2:13">
      <c r="B61" s="36" t="s">
        <v>229</v>
      </c>
      <c r="C61" s="56">
        <f>0</f>
        <v>0</v>
      </c>
      <c r="D61" s="56">
        <f>0</f>
        <v>0</v>
      </c>
      <c r="E61" s="56">
        <f>0</f>
        <v>0</v>
      </c>
      <c r="F61" s="56">
        <f>0</f>
        <v>0</v>
      </c>
      <c r="G61" s="56">
        <f>0</f>
        <v>0</v>
      </c>
    </row>
    <row r="62" spans="2:13" ht="15">
      <c r="B62" s="36" t="s">
        <v>46</v>
      </c>
      <c r="C62" s="56">
        <f>'Balance Sheet'!B44</f>
        <v>84.4</v>
      </c>
      <c r="D62" s="56">
        <f>'Balance Sheet'!C44</f>
        <v>99.4</v>
      </c>
      <c r="E62" s="56">
        <f>'Balance Sheet'!D44</f>
        <v>102.3</v>
      </c>
      <c r="F62" s="56">
        <f>'Balance Sheet'!E44</f>
        <v>88.6</v>
      </c>
      <c r="G62" s="56">
        <f>'Balance Sheet'!F44</f>
        <v>83.7</v>
      </c>
      <c r="L62"/>
      <c r="M62"/>
    </row>
    <row r="63" spans="2:13">
      <c r="B63" s="36" t="s">
        <v>47</v>
      </c>
      <c r="C63" s="56" t="str">
        <f>'Balance Sheet'!B45</f>
        <v>-</v>
      </c>
      <c r="D63" s="56" t="str">
        <f>'Balance Sheet'!C45</f>
        <v>-</v>
      </c>
      <c r="E63" s="56" t="str">
        <f>'Balance Sheet'!D45</f>
        <v>-</v>
      </c>
      <c r="F63" s="56" t="str">
        <f>'Balance Sheet'!E45</f>
        <v>-</v>
      </c>
      <c r="G63" s="56">
        <f>'Balance Sheet'!F45</f>
        <v>3.5</v>
      </c>
    </row>
    <row r="64" spans="2:13" s="34" customFormat="1">
      <c r="B64" s="39" t="s">
        <v>48</v>
      </c>
      <c r="C64" s="58">
        <f>'Balance Sheet'!B46</f>
        <v>1018.8</v>
      </c>
      <c r="D64" s="58">
        <f>'Balance Sheet'!C46</f>
        <v>1134.3</v>
      </c>
      <c r="E64" s="58">
        <f>'Balance Sheet'!D46</f>
        <v>1231.5</v>
      </c>
      <c r="F64" s="58">
        <f>'Balance Sheet'!E46</f>
        <v>1256.8</v>
      </c>
      <c r="G64" s="58">
        <f>'Balance Sheet'!F46</f>
        <v>1385.4</v>
      </c>
    </row>
    <row r="65" spans="2:14">
      <c r="B65" s="36"/>
      <c r="C65" s="56"/>
      <c r="D65" s="56"/>
      <c r="E65" s="56"/>
      <c r="F65" s="56"/>
      <c r="G65" s="56"/>
    </row>
    <row r="66" spans="2:14">
      <c r="B66" s="36" t="s">
        <v>49</v>
      </c>
      <c r="C66" s="56">
        <f>'Balance Sheet'!B48</f>
        <v>2.9</v>
      </c>
      <c r="D66" s="56">
        <f>'Balance Sheet'!C48</f>
        <v>2.9</v>
      </c>
      <c r="E66" s="56">
        <f>'Balance Sheet'!D48</f>
        <v>5.7</v>
      </c>
      <c r="F66" s="56">
        <f>'Balance Sheet'!E48</f>
        <v>5.8</v>
      </c>
      <c r="G66" s="56">
        <f>'Balance Sheet'!F48</f>
        <v>5.7</v>
      </c>
    </row>
    <row r="67" spans="2:14">
      <c r="B67" s="36" t="s">
        <v>50</v>
      </c>
      <c r="C67" s="56">
        <f>'Balance Sheet'!B49</f>
        <v>3</v>
      </c>
      <c r="D67" s="56">
        <f>'Balance Sheet'!C49</f>
        <v>67.2</v>
      </c>
      <c r="E67" s="56">
        <f>'Balance Sheet'!D49</f>
        <v>59.1</v>
      </c>
      <c r="F67" s="56">
        <f>'Balance Sheet'!E49</f>
        <v>96.2</v>
      </c>
      <c r="G67" s="56">
        <f>'Balance Sheet'!F49</f>
        <v>3.6</v>
      </c>
    </row>
    <row r="68" spans="2:14">
      <c r="B68" s="36" t="s">
        <v>51</v>
      </c>
      <c r="C68" s="56">
        <f>'Balance Sheet'!B50</f>
        <v>2341.6</v>
      </c>
      <c r="D68" s="56">
        <f>'Balance Sheet'!C50</f>
        <v>2633.9</v>
      </c>
      <c r="E68" s="56">
        <f>'Balance Sheet'!D50</f>
        <v>2689.6</v>
      </c>
      <c r="F68" s="56">
        <f>'Balance Sheet'!E50</f>
        <v>2970.9</v>
      </c>
      <c r="G68" s="56">
        <f>'Balance Sheet'!F50</f>
        <v>3218.7</v>
      </c>
      <c r="J68" s="61"/>
      <c r="K68" s="61"/>
      <c r="L68" s="61"/>
      <c r="M68" s="61"/>
      <c r="N68" s="61"/>
    </row>
    <row r="69" spans="2:14">
      <c r="B69" s="36" t="s">
        <v>52</v>
      </c>
      <c r="C69" s="56" t="str">
        <f>'Balance Sheet'!B51</f>
        <v>-</v>
      </c>
      <c r="D69" s="56" t="str">
        <f>'Balance Sheet'!C51</f>
        <v>-</v>
      </c>
      <c r="E69" s="56" t="str">
        <f>'Balance Sheet'!D51</f>
        <v>-</v>
      </c>
      <c r="F69" s="56" t="str">
        <f>'Balance Sheet'!E51</f>
        <v>-</v>
      </c>
      <c r="G69" s="56" t="str">
        <f>'Balance Sheet'!F51</f>
        <v>-</v>
      </c>
    </row>
    <row r="70" spans="2:14">
      <c r="B70" s="36" t="s">
        <v>53</v>
      </c>
      <c r="C70" s="56">
        <f>'Balance Sheet'!B52</f>
        <v>-44.8</v>
      </c>
      <c r="D70" s="56">
        <f>'Balance Sheet'!C52</f>
        <v>-38.4</v>
      </c>
      <c r="E70" s="56">
        <f>'Balance Sheet'!D52</f>
        <v>-21.2</v>
      </c>
      <c r="F70" s="56">
        <f>'Balance Sheet'!E52</f>
        <v>-30.7</v>
      </c>
      <c r="G70" s="56">
        <f>'Balance Sheet'!F52</f>
        <v>-64.8</v>
      </c>
      <c r="J70" s="62"/>
      <c r="K70" s="62"/>
      <c r="L70" s="62"/>
      <c r="M70" s="62"/>
      <c r="N70" s="62"/>
    </row>
    <row r="71" spans="2:14">
      <c r="B71" s="39" t="s">
        <v>230</v>
      </c>
      <c r="C71" s="58">
        <f>SUM(C66:C70)</f>
        <v>2302.6999999999998</v>
      </c>
      <c r="D71" s="58">
        <f>SUM(D66:D70)</f>
        <v>2665.6</v>
      </c>
      <c r="E71" s="58">
        <f>SUM(E66:E70)</f>
        <v>2733.2000000000003</v>
      </c>
      <c r="F71" s="58">
        <f>SUM(F66:F70)</f>
        <v>3042.2000000000003</v>
      </c>
      <c r="G71" s="58">
        <f>SUM(G66:G70)</f>
        <v>3163.2</v>
      </c>
      <c r="J71" s="63"/>
      <c r="K71" s="63"/>
      <c r="L71" s="63"/>
      <c r="M71" s="63"/>
      <c r="N71" s="63"/>
    </row>
    <row r="72" spans="2:14">
      <c r="B72" s="36"/>
      <c r="C72" s="56"/>
      <c r="D72" s="56"/>
      <c r="E72" s="56"/>
      <c r="F72" s="56"/>
      <c r="G72" s="56"/>
    </row>
    <row r="73" spans="2:14">
      <c r="B73" s="39" t="s">
        <v>232</v>
      </c>
      <c r="C73" s="58">
        <v>0</v>
      </c>
      <c r="D73" s="58">
        <v>0</v>
      </c>
      <c r="E73" s="58">
        <v>0</v>
      </c>
      <c r="F73" s="58">
        <v>0</v>
      </c>
      <c r="G73" s="58">
        <v>0</v>
      </c>
      <c r="J73" s="9"/>
      <c r="K73" s="9"/>
      <c r="L73" s="9"/>
      <c r="M73" s="9"/>
      <c r="N73" s="9"/>
    </row>
    <row r="74" spans="2:14">
      <c r="B74" s="36"/>
      <c r="C74" s="56"/>
      <c r="D74" s="56"/>
      <c r="E74" s="56"/>
      <c r="F74" s="56"/>
      <c r="G74" s="56"/>
    </row>
    <row r="75" spans="2:14" s="34" customFormat="1">
      <c r="B75" s="39" t="s">
        <v>55</v>
      </c>
      <c r="C75" s="64">
        <f>C71+C73</f>
        <v>2302.6999999999998</v>
      </c>
      <c r="D75" s="64">
        <f>D71+D73</f>
        <v>2665.6</v>
      </c>
      <c r="E75" s="64">
        <f>E71+E73</f>
        <v>2733.2000000000003</v>
      </c>
      <c r="F75" s="64">
        <f>F71+F73</f>
        <v>3042.2000000000003</v>
      </c>
      <c r="G75" s="64">
        <f>G71+G73</f>
        <v>3163.2</v>
      </c>
    </row>
    <row r="76" spans="2:14">
      <c r="B76" s="36"/>
      <c r="C76" s="56"/>
      <c r="D76" s="56"/>
      <c r="E76" s="56"/>
      <c r="F76" s="56"/>
      <c r="G76" s="56"/>
    </row>
    <row r="77" spans="2:14" s="34" customFormat="1" ht="16">
      <c r="B77" s="39" t="s">
        <v>56</v>
      </c>
      <c r="C77" s="65">
        <f>C64+C75</f>
        <v>3321.5</v>
      </c>
      <c r="D77" s="65">
        <f>D64+D75</f>
        <v>3799.8999999999996</v>
      </c>
      <c r="E77" s="65">
        <f>E64+E75</f>
        <v>3964.7000000000003</v>
      </c>
      <c r="F77" s="65">
        <f>F64+F75</f>
        <v>4299</v>
      </c>
      <c r="G77" s="65">
        <f>G64+G75</f>
        <v>4548.6000000000004</v>
      </c>
    </row>
    <row r="78" spans="2:14">
      <c r="B78" s="36"/>
      <c r="C78" s="41"/>
      <c r="D78" s="41"/>
      <c r="E78" s="41"/>
      <c r="F78" s="41"/>
      <c r="G78" s="41"/>
    </row>
    <row r="79" spans="2:14">
      <c r="B79" s="39"/>
      <c r="C79" s="66"/>
      <c r="D79" s="66"/>
      <c r="E79" s="66"/>
      <c r="F79" s="66"/>
      <c r="G79" s="66"/>
    </row>
    <row r="80" spans="2:14">
      <c r="B80" s="36"/>
      <c r="C80" s="67"/>
      <c r="D80" s="67"/>
      <c r="E80" s="67"/>
      <c r="F80" s="67"/>
      <c r="G80" s="67"/>
    </row>
    <row r="81" spans="2:7">
      <c r="B81" s="39"/>
      <c r="C81" s="41"/>
      <c r="D81" s="41"/>
      <c r="E81" s="41"/>
      <c r="F81" s="41"/>
      <c r="G81" s="41"/>
    </row>
    <row r="82" spans="2:7">
      <c r="B82" s="36"/>
      <c r="C82" s="38"/>
      <c r="D82" s="56"/>
      <c r="E82" s="56"/>
      <c r="F82" s="56"/>
      <c r="G82" s="56"/>
    </row>
    <row r="83" spans="2:7">
      <c r="B83" s="36"/>
      <c r="C83" s="38"/>
      <c r="D83" s="38"/>
      <c r="E83" s="38"/>
      <c r="F83" s="38"/>
      <c r="G83" s="38"/>
    </row>
    <row r="84" spans="2:7">
      <c r="B84" s="36"/>
      <c r="C84" s="38"/>
      <c r="D84" s="38"/>
      <c r="E84" s="38"/>
      <c r="F84" s="38"/>
      <c r="G84" s="38"/>
    </row>
    <row r="85" spans="2:7">
      <c r="B85" s="36"/>
      <c r="C85" s="41"/>
      <c r="D85" s="41"/>
      <c r="E85" s="41"/>
      <c r="F85" s="41"/>
      <c r="G85" s="41"/>
    </row>
    <row r="86" spans="2:7">
      <c r="B86" s="36"/>
      <c r="C86" s="38"/>
      <c r="D86" s="38"/>
      <c r="E86" s="38"/>
      <c r="F86" s="38"/>
      <c r="G86" s="38"/>
    </row>
    <row r="87" spans="2:7">
      <c r="B87" s="36"/>
      <c r="C87" s="38"/>
      <c r="D87" s="38"/>
      <c r="E87" s="38"/>
      <c r="F87" s="38"/>
      <c r="G87" s="38"/>
    </row>
    <row r="88" spans="2:7">
      <c r="B88" s="36"/>
      <c r="C88" s="38"/>
      <c r="D88" s="38"/>
      <c r="E88" s="38"/>
      <c r="F88" s="38"/>
      <c r="G88" s="38"/>
    </row>
    <row r="89" spans="2:7">
      <c r="B89" s="36"/>
      <c r="C89" s="41"/>
      <c r="D89" s="41"/>
      <c r="E89" s="41"/>
      <c r="F89" s="41"/>
      <c r="G89" s="41"/>
    </row>
    <row r="90" spans="2:7">
      <c r="B90" s="36"/>
      <c r="C90" s="38"/>
      <c r="D90" s="38"/>
      <c r="E90" s="38"/>
      <c r="F90" s="38"/>
      <c r="G90" s="38"/>
    </row>
    <row r="91" spans="2:7">
      <c r="B91" s="36"/>
      <c r="C91" s="38"/>
      <c r="D91" s="38"/>
      <c r="E91" s="38"/>
      <c r="F91" s="38"/>
      <c r="G91" s="38"/>
    </row>
    <row r="92" spans="2:7">
      <c r="B92" s="36"/>
      <c r="C92" s="41"/>
      <c r="D92" s="41"/>
      <c r="E92" s="41"/>
      <c r="F92" s="41"/>
      <c r="G92" s="41"/>
    </row>
    <row r="93" spans="2:7">
      <c r="B93" s="36"/>
      <c r="C93" s="38"/>
      <c r="D93" s="38"/>
      <c r="E93" s="38"/>
      <c r="F93" s="38"/>
      <c r="G93" s="38"/>
    </row>
    <row r="94" spans="2:7">
      <c r="B94" s="36"/>
      <c r="C94" s="38"/>
      <c r="D94" s="38"/>
      <c r="E94" s="38"/>
      <c r="F94" s="38"/>
      <c r="G94" s="38"/>
    </row>
    <row r="95" spans="2:7">
      <c r="B95" s="36"/>
      <c r="C95" s="41"/>
      <c r="D95" s="41"/>
      <c r="E95" s="41"/>
      <c r="F95" s="41"/>
      <c r="G95" s="41"/>
    </row>
    <row r="96" spans="2:7">
      <c r="B96" s="39"/>
      <c r="C96" s="41"/>
      <c r="D96" s="41"/>
      <c r="E96" s="41"/>
      <c r="F96" s="41"/>
      <c r="G96" s="41"/>
    </row>
    <row r="97" spans="2:7">
      <c r="B97" s="36"/>
      <c r="C97" s="38"/>
      <c r="D97" s="38"/>
      <c r="E97" s="38"/>
      <c r="F97" s="38"/>
      <c r="G97" s="38"/>
    </row>
    <row r="98" spans="2:7">
      <c r="B98" s="36"/>
      <c r="C98" s="38"/>
      <c r="D98" s="38"/>
      <c r="E98" s="38"/>
      <c r="F98" s="38"/>
      <c r="G98" s="38"/>
    </row>
    <row r="99" spans="2:7">
      <c r="B99" s="36"/>
      <c r="C99" s="38"/>
      <c r="D99" s="38"/>
      <c r="E99" s="38"/>
      <c r="F99" s="38"/>
      <c r="G99" s="38"/>
    </row>
    <row r="100" spans="2:7">
      <c r="B100" s="36"/>
      <c r="C100" s="38"/>
      <c r="D100" s="38"/>
      <c r="E100" s="38"/>
      <c r="F100" s="38"/>
      <c r="G100" s="38"/>
    </row>
    <row r="101" spans="2:7">
      <c r="B101" s="36"/>
      <c r="C101" s="38"/>
      <c r="D101" s="38"/>
      <c r="E101" s="38"/>
      <c r="F101" s="38"/>
      <c r="G101" s="38"/>
    </row>
    <row r="102" spans="2:7">
      <c r="B102" s="36"/>
      <c r="C102" s="38"/>
      <c r="D102" s="38"/>
      <c r="E102" s="38"/>
      <c r="F102" s="38"/>
      <c r="G102" s="38"/>
    </row>
    <row r="103" spans="2:7">
      <c r="B103" s="36"/>
      <c r="C103" s="38"/>
      <c r="D103" s="38"/>
      <c r="E103" s="38"/>
      <c r="F103" s="38"/>
      <c r="G103" s="38"/>
    </row>
    <row r="104" spans="2:7">
      <c r="B104" s="36"/>
      <c r="C104" s="38"/>
      <c r="D104" s="38"/>
      <c r="E104" s="38"/>
      <c r="F104" s="38"/>
      <c r="G104" s="38"/>
    </row>
    <row r="105" spans="2:7">
      <c r="B105" s="36"/>
      <c r="C105" s="38"/>
      <c r="D105" s="38"/>
      <c r="E105" s="38"/>
      <c r="F105" s="38"/>
      <c r="G105" s="38"/>
    </row>
    <row r="106" spans="2:7">
      <c r="B106" s="36"/>
      <c r="C106" s="38"/>
      <c r="D106" s="38"/>
      <c r="E106" s="38"/>
      <c r="F106" s="38"/>
      <c r="G106" s="38"/>
    </row>
    <row r="107" spans="2:7">
      <c r="B107" s="36"/>
      <c r="C107" s="38"/>
      <c r="D107" s="38"/>
      <c r="E107" s="38"/>
      <c r="F107" s="38"/>
      <c r="G107" s="38"/>
    </row>
    <row r="108" spans="2:7">
      <c r="B108" s="36"/>
      <c r="C108" s="41"/>
      <c r="D108" s="41"/>
      <c r="E108" s="41"/>
      <c r="F108" s="41"/>
      <c r="G108" s="41"/>
    </row>
    <row r="109" spans="2:7">
      <c r="B109" s="36"/>
      <c r="C109" s="38"/>
      <c r="D109" s="38"/>
      <c r="E109" s="38"/>
      <c r="F109" s="38"/>
      <c r="G109" s="38"/>
    </row>
    <row r="110" spans="2:7">
      <c r="B110" s="36"/>
      <c r="C110" s="38"/>
      <c r="D110" s="38"/>
      <c r="E110" s="38"/>
      <c r="F110" s="38"/>
      <c r="G110" s="38"/>
    </row>
    <row r="111" spans="2:7">
      <c r="B111" s="36"/>
      <c r="C111" s="38"/>
      <c r="D111" s="38"/>
      <c r="E111" s="38"/>
      <c r="F111" s="38"/>
      <c r="G111" s="38"/>
    </row>
    <row r="112" spans="2:7">
      <c r="B112" s="36"/>
      <c r="C112" s="38"/>
      <c r="D112" s="38"/>
      <c r="E112" s="38"/>
      <c r="F112" s="38"/>
      <c r="G112" s="38"/>
    </row>
    <row r="113" spans="2:7">
      <c r="B113" s="36"/>
      <c r="C113" s="38"/>
      <c r="D113" s="38"/>
      <c r="E113" s="38"/>
      <c r="F113" s="38"/>
      <c r="G113" s="38"/>
    </row>
    <row r="114" spans="2:7">
      <c r="B114" s="36"/>
      <c r="C114" s="38"/>
      <c r="D114" s="38"/>
      <c r="E114" s="38"/>
      <c r="F114" s="38"/>
      <c r="G114" s="38"/>
    </row>
    <row r="115" spans="2:7">
      <c r="B115" s="36"/>
      <c r="C115" s="41"/>
      <c r="D115" s="41"/>
      <c r="E115" s="41"/>
      <c r="F115" s="41"/>
      <c r="G115" s="41"/>
    </row>
    <row r="116" spans="2:7">
      <c r="B116" s="39"/>
      <c r="C116" s="41"/>
      <c r="D116" s="41"/>
      <c r="E116" s="41"/>
      <c r="F116" s="41"/>
      <c r="G116" s="41"/>
    </row>
    <row r="117" spans="2:7">
      <c r="B117" s="36"/>
      <c r="C117" s="38"/>
      <c r="D117" s="38"/>
      <c r="E117" s="38"/>
      <c r="F117" s="38"/>
      <c r="G117" s="38"/>
    </row>
    <row r="118" spans="2:7">
      <c r="B118" s="36"/>
      <c r="C118" s="38"/>
      <c r="D118" s="38"/>
      <c r="E118" s="38"/>
      <c r="F118" s="38"/>
      <c r="G118" s="38"/>
    </row>
    <row r="119" spans="2:7">
      <c r="B119" s="36"/>
      <c r="C119" s="38"/>
      <c r="D119" s="38"/>
      <c r="E119" s="38"/>
      <c r="F119" s="38"/>
      <c r="G119" s="38"/>
    </row>
    <row r="120" spans="2:7">
      <c r="B120" s="36"/>
      <c r="C120" s="38"/>
      <c r="D120" s="38"/>
      <c r="E120" s="38"/>
      <c r="F120" s="38"/>
      <c r="G120" s="38"/>
    </row>
    <row r="121" spans="2:7">
      <c r="B121" s="36"/>
      <c r="C121" s="38"/>
      <c r="D121" s="38"/>
      <c r="E121" s="38"/>
      <c r="F121" s="38"/>
      <c r="G121" s="38"/>
    </row>
    <row r="122" spans="2:7">
      <c r="B122" s="36"/>
      <c r="C122" s="41"/>
      <c r="D122" s="41"/>
      <c r="E122" s="41"/>
      <c r="F122" s="41"/>
      <c r="G122" s="41"/>
    </row>
    <row r="123" spans="2:7">
      <c r="B123" s="36"/>
      <c r="C123" s="38"/>
      <c r="D123" s="38"/>
      <c r="E123" s="38"/>
      <c r="F123" s="38"/>
      <c r="G123" s="38"/>
    </row>
    <row r="124" spans="2:7">
      <c r="B124" s="39"/>
      <c r="C124" s="68"/>
      <c r="D124" s="68"/>
      <c r="E124" s="68"/>
      <c r="F124" s="68"/>
      <c r="G124" s="68"/>
    </row>
    <row r="125" spans="2:7">
      <c r="B125" s="36"/>
      <c r="C125" s="41"/>
      <c r="D125" s="41"/>
      <c r="E125" s="41"/>
      <c r="F125" s="41"/>
      <c r="G125" s="41"/>
    </row>
    <row r="126" spans="2:7">
      <c r="B126" s="69"/>
      <c r="C126" s="69"/>
      <c r="D126" s="69"/>
      <c r="E126" s="69"/>
      <c r="F126" s="69"/>
      <c r="G126" s="69"/>
    </row>
    <row r="128" spans="2:7">
      <c r="B128" s="70"/>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BED3-0EF7-4A56-ABC4-498D114B89CE}">
  <dimension ref="A5:IU82"/>
  <sheetViews>
    <sheetView topLeftCell="A9" zoomScale="150" workbookViewId="0">
      <selection activeCell="F14" sqref="F14"/>
    </sheetView>
  </sheetViews>
  <sheetFormatPr baseColWidth="10" defaultColWidth="8.83203125" defaultRowHeight="11"/>
  <cols>
    <col min="1" max="1" width="45.83203125" style="1" customWidth="1"/>
    <col min="2" max="6" width="14.83203125" style="1" customWidth="1"/>
    <col min="7" max="256" width="8.83203125" style="1"/>
    <col min="257" max="257" width="45.83203125" style="1" customWidth="1"/>
    <col min="258" max="262" width="14.83203125" style="1" customWidth="1"/>
    <col min="263" max="512" width="8.83203125" style="1"/>
    <col min="513" max="513" width="45.83203125" style="1" customWidth="1"/>
    <col min="514" max="518" width="14.83203125" style="1" customWidth="1"/>
    <col min="519" max="768" width="8.83203125" style="1"/>
    <col min="769" max="769" width="45.83203125" style="1" customWidth="1"/>
    <col min="770" max="774" width="14.83203125" style="1" customWidth="1"/>
    <col min="775" max="1024" width="8.83203125" style="1"/>
    <col min="1025" max="1025" width="45.83203125" style="1" customWidth="1"/>
    <col min="1026" max="1030" width="14.83203125" style="1" customWidth="1"/>
    <col min="1031" max="1280" width="8.83203125" style="1"/>
    <col min="1281" max="1281" width="45.83203125" style="1" customWidth="1"/>
    <col min="1282" max="1286" width="14.83203125" style="1" customWidth="1"/>
    <col min="1287" max="1536" width="8.83203125" style="1"/>
    <col min="1537" max="1537" width="45.83203125" style="1" customWidth="1"/>
    <col min="1538" max="1542" width="14.83203125" style="1" customWidth="1"/>
    <col min="1543" max="1792" width="8.83203125" style="1"/>
    <col min="1793" max="1793" width="45.83203125" style="1" customWidth="1"/>
    <col min="1794" max="1798" width="14.83203125" style="1" customWidth="1"/>
    <col min="1799" max="2048" width="8.83203125" style="1"/>
    <col min="2049" max="2049" width="45.83203125" style="1" customWidth="1"/>
    <col min="2050" max="2054" width="14.83203125" style="1" customWidth="1"/>
    <col min="2055" max="2304" width="8.83203125" style="1"/>
    <col min="2305" max="2305" width="45.83203125" style="1" customWidth="1"/>
    <col min="2306" max="2310" width="14.83203125" style="1" customWidth="1"/>
    <col min="2311" max="2560" width="8.83203125" style="1"/>
    <col min="2561" max="2561" width="45.83203125" style="1" customWidth="1"/>
    <col min="2562" max="2566" width="14.83203125" style="1" customWidth="1"/>
    <col min="2567" max="2816" width="8.83203125" style="1"/>
    <col min="2817" max="2817" width="45.83203125" style="1" customWidth="1"/>
    <col min="2818" max="2822" width="14.83203125" style="1" customWidth="1"/>
    <col min="2823" max="3072" width="8.83203125" style="1"/>
    <col min="3073" max="3073" width="45.83203125" style="1" customWidth="1"/>
    <col min="3074" max="3078" width="14.83203125" style="1" customWidth="1"/>
    <col min="3079" max="3328" width="8.83203125" style="1"/>
    <col min="3329" max="3329" width="45.83203125" style="1" customWidth="1"/>
    <col min="3330" max="3334" width="14.83203125" style="1" customWidth="1"/>
    <col min="3335" max="3584" width="8.83203125" style="1"/>
    <col min="3585" max="3585" width="45.83203125" style="1" customWidth="1"/>
    <col min="3586" max="3590" width="14.83203125" style="1" customWidth="1"/>
    <col min="3591" max="3840" width="8.83203125" style="1"/>
    <col min="3841" max="3841" width="45.83203125" style="1" customWidth="1"/>
    <col min="3842" max="3846" width="14.83203125" style="1" customWidth="1"/>
    <col min="3847" max="4096" width="8.83203125" style="1"/>
    <col min="4097" max="4097" width="45.83203125" style="1" customWidth="1"/>
    <col min="4098" max="4102" width="14.83203125" style="1" customWidth="1"/>
    <col min="4103" max="4352" width="8.83203125" style="1"/>
    <col min="4353" max="4353" width="45.83203125" style="1" customWidth="1"/>
    <col min="4354" max="4358" width="14.83203125" style="1" customWidth="1"/>
    <col min="4359" max="4608" width="8.83203125" style="1"/>
    <col min="4609" max="4609" width="45.83203125" style="1" customWidth="1"/>
    <col min="4610" max="4614" width="14.83203125" style="1" customWidth="1"/>
    <col min="4615" max="4864" width="8.83203125" style="1"/>
    <col min="4865" max="4865" width="45.83203125" style="1" customWidth="1"/>
    <col min="4866" max="4870" width="14.83203125" style="1" customWidth="1"/>
    <col min="4871" max="5120" width="8.83203125" style="1"/>
    <col min="5121" max="5121" width="45.83203125" style="1" customWidth="1"/>
    <col min="5122" max="5126" width="14.83203125" style="1" customWidth="1"/>
    <col min="5127" max="5376" width="8.83203125" style="1"/>
    <col min="5377" max="5377" width="45.83203125" style="1" customWidth="1"/>
    <col min="5378" max="5382" width="14.83203125" style="1" customWidth="1"/>
    <col min="5383" max="5632" width="8.83203125" style="1"/>
    <col min="5633" max="5633" width="45.83203125" style="1" customWidth="1"/>
    <col min="5634" max="5638" width="14.83203125" style="1" customWidth="1"/>
    <col min="5639" max="5888" width="8.83203125" style="1"/>
    <col min="5889" max="5889" width="45.83203125" style="1" customWidth="1"/>
    <col min="5890" max="5894" width="14.83203125" style="1" customWidth="1"/>
    <col min="5895" max="6144" width="8.83203125" style="1"/>
    <col min="6145" max="6145" width="45.83203125" style="1" customWidth="1"/>
    <col min="6146" max="6150" width="14.83203125" style="1" customWidth="1"/>
    <col min="6151" max="6400" width="8.83203125" style="1"/>
    <col min="6401" max="6401" width="45.83203125" style="1" customWidth="1"/>
    <col min="6402" max="6406" width="14.83203125" style="1" customWidth="1"/>
    <col min="6407" max="6656" width="8.83203125" style="1"/>
    <col min="6657" max="6657" width="45.83203125" style="1" customWidth="1"/>
    <col min="6658" max="6662" width="14.83203125" style="1" customWidth="1"/>
    <col min="6663" max="6912" width="8.83203125" style="1"/>
    <col min="6913" max="6913" width="45.83203125" style="1" customWidth="1"/>
    <col min="6914" max="6918" width="14.83203125" style="1" customWidth="1"/>
    <col min="6919" max="7168" width="8.83203125" style="1"/>
    <col min="7169" max="7169" width="45.83203125" style="1" customWidth="1"/>
    <col min="7170" max="7174" width="14.83203125" style="1" customWidth="1"/>
    <col min="7175" max="7424" width="8.83203125" style="1"/>
    <col min="7425" max="7425" width="45.83203125" style="1" customWidth="1"/>
    <col min="7426" max="7430" width="14.83203125" style="1" customWidth="1"/>
    <col min="7431" max="7680" width="8.83203125" style="1"/>
    <col min="7681" max="7681" width="45.83203125" style="1" customWidth="1"/>
    <col min="7682" max="7686" width="14.83203125" style="1" customWidth="1"/>
    <col min="7687" max="7936" width="8.83203125" style="1"/>
    <col min="7937" max="7937" width="45.83203125" style="1" customWidth="1"/>
    <col min="7938" max="7942" width="14.83203125" style="1" customWidth="1"/>
    <col min="7943" max="8192" width="8.83203125" style="1"/>
    <col min="8193" max="8193" width="45.83203125" style="1" customWidth="1"/>
    <col min="8194" max="8198" width="14.83203125" style="1" customWidth="1"/>
    <col min="8199" max="8448" width="8.83203125" style="1"/>
    <col min="8449" max="8449" width="45.83203125" style="1" customWidth="1"/>
    <col min="8450" max="8454" width="14.83203125" style="1" customWidth="1"/>
    <col min="8455" max="8704" width="8.83203125" style="1"/>
    <col min="8705" max="8705" width="45.83203125" style="1" customWidth="1"/>
    <col min="8706" max="8710" width="14.83203125" style="1" customWidth="1"/>
    <col min="8711" max="8960" width="8.83203125" style="1"/>
    <col min="8961" max="8961" width="45.83203125" style="1" customWidth="1"/>
    <col min="8962" max="8966" width="14.83203125" style="1" customWidth="1"/>
    <col min="8967" max="9216" width="8.83203125" style="1"/>
    <col min="9217" max="9217" width="45.83203125" style="1" customWidth="1"/>
    <col min="9218" max="9222" width="14.83203125" style="1" customWidth="1"/>
    <col min="9223" max="9472" width="8.83203125" style="1"/>
    <col min="9473" max="9473" width="45.83203125" style="1" customWidth="1"/>
    <col min="9474" max="9478" width="14.83203125" style="1" customWidth="1"/>
    <col min="9479" max="9728" width="8.83203125" style="1"/>
    <col min="9729" max="9729" width="45.83203125" style="1" customWidth="1"/>
    <col min="9730" max="9734" width="14.83203125" style="1" customWidth="1"/>
    <col min="9735" max="9984" width="8.83203125" style="1"/>
    <col min="9985" max="9985" width="45.83203125" style="1" customWidth="1"/>
    <col min="9986" max="9990" width="14.83203125" style="1" customWidth="1"/>
    <col min="9991" max="10240" width="8.83203125" style="1"/>
    <col min="10241" max="10241" width="45.83203125" style="1" customWidth="1"/>
    <col min="10242" max="10246" width="14.83203125" style="1" customWidth="1"/>
    <col min="10247" max="10496" width="8.83203125" style="1"/>
    <col min="10497" max="10497" width="45.83203125" style="1" customWidth="1"/>
    <col min="10498" max="10502" width="14.83203125" style="1" customWidth="1"/>
    <col min="10503" max="10752" width="8.83203125" style="1"/>
    <col min="10753" max="10753" width="45.83203125" style="1" customWidth="1"/>
    <col min="10754" max="10758" width="14.83203125" style="1" customWidth="1"/>
    <col min="10759" max="11008" width="8.83203125" style="1"/>
    <col min="11009" max="11009" width="45.83203125" style="1" customWidth="1"/>
    <col min="11010" max="11014" width="14.83203125" style="1" customWidth="1"/>
    <col min="11015" max="11264" width="8.83203125" style="1"/>
    <col min="11265" max="11265" width="45.83203125" style="1" customWidth="1"/>
    <col min="11266" max="11270" width="14.83203125" style="1" customWidth="1"/>
    <col min="11271" max="11520" width="8.83203125" style="1"/>
    <col min="11521" max="11521" width="45.83203125" style="1" customWidth="1"/>
    <col min="11522" max="11526" width="14.83203125" style="1" customWidth="1"/>
    <col min="11527" max="11776" width="8.83203125" style="1"/>
    <col min="11777" max="11777" width="45.83203125" style="1" customWidth="1"/>
    <col min="11778" max="11782" width="14.83203125" style="1" customWidth="1"/>
    <col min="11783" max="12032" width="8.83203125" style="1"/>
    <col min="12033" max="12033" width="45.83203125" style="1" customWidth="1"/>
    <col min="12034" max="12038" width="14.83203125" style="1" customWidth="1"/>
    <col min="12039" max="12288" width="8.83203125" style="1"/>
    <col min="12289" max="12289" width="45.83203125" style="1" customWidth="1"/>
    <col min="12290" max="12294" width="14.83203125" style="1" customWidth="1"/>
    <col min="12295" max="12544" width="8.83203125" style="1"/>
    <col min="12545" max="12545" width="45.83203125" style="1" customWidth="1"/>
    <col min="12546" max="12550" width="14.83203125" style="1" customWidth="1"/>
    <col min="12551" max="12800" width="8.83203125" style="1"/>
    <col min="12801" max="12801" width="45.83203125" style="1" customWidth="1"/>
    <col min="12802" max="12806" width="14.83203125" style="1" customWidth="1"/>
    <col min="12807" max="13056" width="8.83203125" style="1"/>
    <col min="13057" max="13057" width="45.83203125" style="1" customWidth="1"/>
    <col min="13058" max="13062" width="14.83203125" style="1" customWidth="1"/>
    <col min="13063" max="13312" width="8.83203125" style="1"/>
    <col min="13313" max="13313" width="45.83203125" style="1" customWidth="1"/>
    <col min="13314" max="13318" width="14.83203125" style="1" customWidth="1"/>
    <col min="13319" max="13568" width="8.83203125" style="1"/>
    <col min="13569" max="13569" width="45.83203125" style="1" customWidth="1"/>
    <col min="13570" max="13574" width="14.83203125" style="1" customWidth="1"/>
    <col min="13575" max="13824" width="8.83203125" style="1"/>
    <col min="13825" max="13825" width="45.83203125" style="1" customWidth="1"/>
    <col min="13826" max="13830" width="14.83203125" style="1" customWidth="1"/>
    <col min="13831" max="14080" width="8.83203125" style="1"/>
    <col min="14081" max="14081" width="45.83203125" style="1" customWidth="1"/>
    <col min="14082" max="14086" width="14.83203125" style="1" customWidth="1"/>
    <col min="14087" max="14336" width="8.83203125" style="1"/>
    <col min="14337" max="14337" width="45.83203125" style="1" customWidth="1"/>
    <col min="14338" max="14342" width="14.83203125" style="1" customWidth="1"/>
    <col min="14343" max="14592" width="8.83203125" style="1"/>
    <col min="14593" max="14593" width="45.83203125" style="1" customWidth="1"/>
    <col min="14594" max="14598" width="14.83203125" style="1" customWidth="1"/>
    <col min="14599" max="14848" width="8.83203125" style="1"/>
    <col min="14849" max="14849" width="45.83203125" style="1" customWidth="1"/>
    <col min="14850" max="14854" width="14.83203125" style="1" customWidth="1"/>
    <col min="14855" max="15104" width="8.83203125" style="1"/>
    <col min="15105" max="15105" width="45.83203125" style="1" customWidth="1"/>
    <col min="15106" max="15110" width="14.83203125" style="1" customWidth="1"/>
    <col min="15111" max="15360" width="8.83203125" style="1"/>
    <col min="15361" max="15361" width="45.83203125" style="1" customWidth="1"/>
    <col min="15362" max="15366" width="14.83203125" style="1" customWidth="1"/>
    <col min="15367" max="15616" width="8.83203125" style="1"/>
    <col min="15617" max="15617" width="45.83203125" style="1" customWidth="1"/>
    <col min="15618" max="15622" width="14.83203125" style="1" customWidth="1"/>
    <col min="15623" max="15872" width="8.83203125" style="1"/>
    <col min="15873" max="15873" width="45.83203125" style="1" customWidth="1"/>
    <col min="15874" max="15878" width="14.83203125" style="1" customWidth="1"/>
    <col min="15879" max="16128" width="8.83203125" style="1"/>
    <col min="16129" max="16129" width="45.83203125" style="1" customWidth="1"/>
    <col min="16130" max="16134" width="14.83203125" style="1" customWidth="1"/>
    <col min="16135" max="16384" width="8.83203125" style="1"/>
  </cols>
  <sheetData>
    <row r="5" spans="1:255" ht="17">
      <c r="A5" s="2" t="s">
        <v>0</v>
      </c>
    </row>
    <row r="7" spans="1:255" ht="12">
      <c r="A7" s="3" t="s">
        <v>1</v>
      </c>
      <c r="B7" s="4" t="s">
        <v>2</v>
      </c>
      <c r="C7" s="1" t="s">
        <v>3</v>
      </c>
      <c r="D7" s="5" t="s">
        <v>4</v>
      </c>
      <c r="E7" s="4" t="s">
        <v>5</v>
      </c>
      <c r="F7" s="1" t="s">
        <v>6</v>
      </c>
    </row>
    <row r="8" spans="1:255">
      <c r="A8" s="5"/>
      <c r="B8" s="4" t="s">
        <v>7</v>
      </c>
      <c r="C8" s="1" t="s">
        <v>8</v>
      </c>
      <c r="D8" s="5" t="s">
        <v>4</v>
      </c>
      <c r="E8" s="4" t="s">
        <v>9</v>
      </c>
      <c r="F8" s="1" t="s">
        <v>10</v>
      </c>
    </row>
    <row r="9" spans="1:255">
      <c r="A9" s="5"/>
      <c r="B9" s="4" t="s">
        <v>11</v>
      </c>
      <c r="C9" s="1" t="s">
        <v>12</v>
      </c>
      <c r="D9" s="5" t="s">
        <v>4</v>
      </c>
      <c r="E9" s="4" t="s">
        <v>13</v>
      </c>
      <c r="F9" s="1" t="s">
        <v>14</v>
      </c>
    </row>
    <row r="10" spans="1:255">
      <c r="A10" s="5"/>
      <c r="B10" s="4" t="s">
        <v>15</v>
      </c>
      <c r="C10" s="1" t="s">
        <v>16</v>
      </c>
      <c r="D10" s="5" t="s">
        <v>4</v>
      </c>
      <c r="E10" s="4" t="s">
        <v>17</v>
      </c>
      <c r="F10" s="6" t="s">
        <v>18</v>
      </c>
    </row>
    <row r="13" spans="1:255">
      <c r="A13" s="7" t="s">
        <v>19</v>
      </c>
      <c r="B13" s="7"/>
      <c r="C13" s="7"/>
      <c r="D13" s="7"/>
      <c r="E13" s="7"/>
      <c r="F13" s="7"/>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s="28" customFormat="1" ht="24">
      <c r="A14" s="26" t="s">
        <v>20</v>
      </c>
      <c r="B14" s="31">
        <v>43465</v>
      </c>
      <c r="C14" s="31">
        <v>43830</v>
      </c>
      <c r="D14" s="31">
        <v>44196</v>
      </c>
      <c r="E14" s="31">
        <v>44561</v>
      </c>
      <c r="F14" s="31">
        <v>44926</v>
      </c>
    </row>
    <row r="15" spans="1:255" s="28" customFormat="1" ht="12">
      <c r="A15" s="29" t="s">
        <v>21</v>
      </c>
      <c r="B15" s="30" t="s">
        <v>22</v>
      </c>
      <c r="C15" s="30" t="s">
        <v>22</v>
      </c>
      <c r="D15" s="30" t="s">
        <v>22</v>
      </c>
      <c r="E15" s="30" t="s">
        <v>22</v>
      </c>
      <c r="F15" s="30" t="s">
        <v>22</v>
      </c>
    </row>
    <row r="16" spans="1:255">
      <c r="A16" s="8" t="s">
        <v>23</v>
      </c>
      <c r="B16" s="5"/>
      <c r="C16" s="5"/>
      <c r="D16" s="5"/>
      <c r="E16" s="5"/>
      <c r="F16" s="5"/>
    </row>
    <row r="17" spans="1:6">
      <c r="A17" s="5" t="s">
        <v>24</v>
      </c>
      <c r="B17" s="9">
        <v>167.2</v>
      </c>
      <c r="C17" s="9">
        <v>174.9</v>
      </c>
      <c r="D17" s="9">
        <v>245.7</v>
      </c>
      <c r="E17" s="9">
        <v>236.2</v>
      </c>
      <c r="F17" s="9">
        <v>230.1</v>
      </c>
    </row>
    <row r="18" spans="1:6">
      <c r="A18" s="8" t="s">
        <v>25</v>
      </c>
      <c r="B18" s="10">
        <v>167.2</v>
      </c>
      <c r="C18" s="10">
        <v>174.9</v>
      </c>
      <c r="D18" s="10">
        <v>245.7</v>
      </c>
      <c r="E18" s="10">
        <v>236.2</v>
      </c>
      <c r="F18" s="10">
        <v>230.1</v>
      </c>
    </row>
    <row r="19" spans="1:6">
      <c r="A19" s="5"/>
      <c r="B19" s="5"/>
      <c r="C19" s="5"/>
      <c r="D19" s="5"/>
      <c r="E19" s="5"/>
      <c r="F19" s="5"/>
    </row>
    <row r="20" spans="1:6">
      <c r="A20" s="5" t="s">
        <v>26</v>
      </c>
      <c r="B20" s="9">
        <v>714.3</v>
      </c>
      <c r="C20" s="9">
        <v>741.8</v>
      </c>
      <c r="D20" s="9">
        <v>769.4</v>
      </c>
      <c r="E20" s="9">
        <v>900.2</v>
      </c>
      <c r="F20" s="9">
        <v>1013.2</v>
      </c>
    </row>
    <row r="21" spans="1:6">
      <c r="A21" s="8" t="s">
        <v>27</v>
      </c>
      <c r="B21" s="10">
        <v>714.3</v>
      </c>
      <c r="C21" s="10">
        <v>741.8</v>
      </c>
      <c r="D21" s="10">
        <v>769.4</v>
      </c>
      <c r="E21" s="10">
        <v>900.2</v>
      </c>
      <c r="F21" s="10">
        <v>1013.2</v>
      </c>
    </row>
    <row r="22" spans="1:6">
      <c r="A22" s="5"/>
      <c r="B22" s="5"/>
      <c r="C22" s="5"/>
      <c r="D22" s="5"/>
      <c r="E22" s="5"/>
      <c r="F22" s="5"/>
    </row>
    <row r="23" spans="1:6">
      <c r="A23" s="5" t="s">
        <v>28</v>
      </c>
      <c r="B23" s="9">
        <v>1278.7</v>
      </c>
      <c r="C23" s="9">
        <v>1366.4</v>
      </c>
      <c r="D23" s="9">
        <v>1337.5</v>
      </c>
      <c r="E23" s="9">
        <v>1523.6</v>
      </c>
      <c r="F23" s="9">
        <v>1708</v>
      </c>
    </row>
    <row r="24" spans="1:6">
      <c r="A24" s="5" t="s">
        <v>29</v>
      </c>
      <c r="B24" s="9">
        <v>156</v>
      </c>
      <c r="C24" s="9">
        <v>174.1</v>
      </c>
      <c r="D24" s="9">
        <v>147</v>
      </c>
      <c r="E24" s="9">
        <v>196.6</v>
      </c>
      <c r="F24" s="9">
        <v>173.5</v>
      </c>
    </row>
    <row r="25" spans="1:6">
      <c r="A25" s="8" t="s">
        <v>30</v>
      </c>
      <c r="B25" s="10">
        <v>2316.1999999999998</v>
      </c>
      <c r="C25" s="10">
        <v>2457.1999999999998</v>
      </c>
      <c r="D25" s="10">
        <v>2499.6</v>
      </c>
      <c r="E25" s="10">
        <v>2856.6</v>
      </c>
      <c r="F25" s="10">
        <v>3124.8</v>
      </c>
    </row>
    <row r="26" spans="1:6">
      <c r="A26" s="5"/>
      <c r="B26" s="5"/>
      <c r="C26" s="5"/>
      <c r="D26" s="5"/>
      <c r="E26" s="5"/>
      <c r="F26" s="5"/>
    </row>
    <row r="27" spans="1:6">
      <c r="A27" s="5" t="s">
        <v>31</v>
      </c>
      <c r="B27" s="9">
        <v>1746.2</v>
      </c>
      <c r="C27" s="9">
        <v>2210.1</v>
      </c>
      <c r="D27" s="9">
        <v>2327.6</v>
      </c>
      <c r="E27" s="9">
        <v>2439.5</v>
      </c>
      <c r="F27" s="9">
        <v>2554.4</v>
      </c>
    </row>
    <row r="28" spans="1:6">
      <c r="A28" s="5" t="s">
        <v>32</v>
      </c>
      <c r="B28" s="9">
        <v>-821.4</v>
      </c>
      <c r="C28" s="9">
        <v>-943.7</v>
      </c>
      <c r="D28" s="9">
        <v>-1053.9000000000001</v>
      </c>
      <c r="E28" s="9">
        <v>-1178</v>
      </c>
      <c r="F28" s="9">
        <v>-1301.4000000000001</v>
      </c>
    </row>
    <row r="29" spans="1:6">
      <c r="A29" s="8" t="s">
        <v>33</v>
      </c>
      <c r="B29" s="10">
        <v>924.8</v>
      </c>
      <c r="C29" s="10">
        <v>1266.4000000000001</v>
      </c>
      <c r="D29" s="10">
        <v>1273.7</v>
      </c>
      <c r="E29" s="10">
        <v>1261.5</v>
      </c>
      <c r="F29" s="10">
        <v>1253</v>
      </c>
    </row>
    <row r="30" spans="1:6">
      <c r="A30" s="5"/>
      <c r="B30" s="5"/>
      <c r="C30" s="5"/>
      <c r="D30" s="5"/>
      <c r="E30" s="5"/>
      <c r="F30" s="5"/>
    </row>
    <row r="31" spans="1:6">
      <c r="A31" s="5" t="s">
        <v>34</v>
      </c>
      <c r="B31" s="9">
        <v>80.5</v>
      </c>
      <c r="C31" s="9">
        <v>76.3</v>
      </c>
      <c r="D31" s="9">
        <v>191.4</v>
      </c>
      <c r="E31" s="9">
        <v>180.9</v>
      </c>
      <c r="F31" s="9">
        <v>170.8</v>
      </c>
    </row>
    <row r="32" spans="1:6">
      <c r="A32" s="8" t="s">
        <v>35</v>
      </c>
      <c r="B32" s="11">
        <v>3321.5</v>
      </c>
      <c r="C32" s="11">
        <v>3799.9</v>
      </c>
      <c r="D32" s="11">
        <v>3964.7</v>
      </c>
      <c r="E32" s="11">
        <v>4299</v>
      </c>
      <c r="F32" s="11">
        <v>4548.6000000000004</v>
      </c>
    </row>
    <row r="33" spans="1:6">
      <c r="A33" s="5"/>
      <c r="B33" s="5"/>
      <c r="C33" s="5"/>
      <c r="D33" s="5"/>
      <c r="E33" s="5"/>
      <c r="F33" s="5"/>
    </row>
    <row r="34" spans="1:6">
      <c r="A34" s="8" t="s">
        <v>36</v>
      </c>
      <c r="B34" s="5"/>
      <c r="C34" s="5"/>
      <c r="D34" s="5"/>
      <c r="E34" s="5"/>
      <c r="F34" s="5"/>
    </row>
    <row r="35" spans="1:6">
      <c r="A35" s="5" t="s">
        <v>37</v>
      </c>
      <c r="B35" s="9">
        <v>193.6</v>
      </c>
      <c r="C35" s="9">
        <v>192.8</v>
      </c>
      <c r="D35" s="9">
        <v>207</v>
      </c>
      <c r="E35" s="9">
        <v>233.1</v>
      </c>
      <c r="F35" s="9">
        <v>255</v>
      </c>
    </row>
    <row r="36" spans="1:6">
      <c r="A36" s="5" t="s">
        <v>38</v>
      </c>
      <c r="B36" s="9">
        <v>240.8</v>
      </c>
      <c r="C36" s="9">
        <v>251.5</v>
      </c>
      <c r="D36" s="9">
        <v>272.10000000000002</v>
      </c>
      <c r="E36" s="9">
        <v>298.3</v>
      </c>
      <c r="F36" s="9">
        <v>241.1</v>
      </c>
    </row>
    <row r="37" spans="1:6">
      <c r="A37" s="5" t="s">
        <v>39</v>
      </c>
      <c r="B37" s="9">
        <v>3</v>
      </c>
      <c r="C37" s="9">
        <v>3</v>
      </c>
      <c r="D37" s="9">
        <v>40</v>
      </c>
      <c r="E37" s="9">
        <v>60</v>
      </c>
      <c r="F37" s="9">
        <v>201.8</v>
      </c>
    </row>
    <row r="38" spans="1:6">
      <c r="A38" s="5" t="s">
        <v>40</v>
      </c>
      <c r="B38" s="9">
        <v>0</v>
      </c>
      <c r="C38" s="9">
        <v>97.4</v>
      </c>
      <c r="D38" s="9">
        <v>93.6</v>
      </c>
      <c r="E38" s="9">
        <v>90.8</v>
      </c>
      <c r="F38" s="9">
        <v>91.9</v>
      </c>
    </row>
    <row r="39" spans="1:6" ht="12">
      <c r="A39" s="5" t="s">
        <v>42</v>
      </c>
      <c r="B39" s="9" t="s">
        <v>41</v>
      </c>
      <c r="C39" s="9" t="s">
        <v>41</v>
      </c>
      <c r="D39" s="9" t="s">
        <v>41</v>
      </c>
      <c r="E39" s="9" t="s">
        <v>41</v>
      </c>
      <c r="F39" s="9" t="s">
        <v>41</v>
      </c>
    </row>
    <row r="40" spans="1:6">
      <c r="A40" s="8" t="s">
        <v>43</v>
      </c>
      <c r="B40" s="10">
        <v>437.4</v>
      </c>
      <c r="C40" s="10">
        <v>544.70000000000005</v>
      </c>
      <c r="D40" s="10">
        <v>612.70000000000005</v>
      </c>
      <c r="E40" s="10">
        <v>682.2</v>
      </c>
      <c r="F40" s="10">
        <v>789.8</v>
      </c>
    </row>
    <row r="41" spans="1:6">
      <c r="A41" s="5"/>
      <c r="B41" s="5"/>
      <c r="C41" s="5"/>
      <c r="D41" s="5"/>
      <c r="E41" s="5"/>
      <c r="F41" s="5"/>
    </row>
    <row r="42" spans="1:6">
      <c r="A42" s="5" t="s">
        <v>44</v>
      </c>
      <c r="B42" s="9">
        <v>497</v>
      </c>
      <c r="C42" s="9">
        <v>342</v>
      </c>
      <c r="D42" s="9">
        <v>365</v>
      </c>
      <c r="E42" s="9">
        <v>330</v>
      </c>
      <c r="F42" s="9">
        <v>353.2</v>
      </c>
    </row>
    <row r="43" spans="1:6">
      <c r="A43" s="5" t="s">
        <v>45</v>
      </c>
      <c r="B43" s="9">
        <v>0</v>
      </c>
      <c r="C43" s="9">
        <v>148.19999999999999</v>
      </c>
      <c r="D43" s="9">
        <v>151.5</v>
      </c>
      <c r="E43" s="9">
        <v>156</v>
      </c>
      <c r="F43" s="9">
        <v>155.19999999999999</v>
      </c>
    </row>
    <row r="44" spans="1:6">
      <c r="A44" s="5" t="s">
        <v>46</v>
      </c>
      <c r="B44" s="9">
        <v>84.4</v>
      </c>
      <c r="C44" s="9">
        <v>99.4</v>
      </c>
      <c r="D44" s="9">
        <v>102.3</v>
      </c>
      <c r="E44" s="9">
        <v>88.6</v>
      </c>
      <c r="F44" s="9">
        <v>83.7</v>
      </c>
    </row>
    <row r="45" spans="1:6" ht="12">
      <c r="A45" s="5" t="s">
        <v>47</v>
      </c>
      <c r="B45" s="9" t="s">
        <v>41</v>
      </c>
      <c r="C45" s="9" t="s">
        <v>41</v>
      </c>
      <c r="D45" s="9" t="s">
        <v>41</v>
      </c>
      <c r="E45" s="9" t="s">
        <v>41</v>
      </c>
      <c r="F45" s="9">
        <v>3.5</v>
      </c>
    </row>
    <row r="46" spans="1:6">
      <c r="A46" s="8" t="s">
        <v>48</v>
      </c>
      <c r="B46" s="10">
        <v>1018.8</v>
      </c>
      <c r="C46" s="10">
        <v>1134.3</v>
      </c>
      <c r="D46" s="10">
        <v>1231.5</v>
      </c>
      <c r="E46" s="10">
        <v>1256.8</v>
      </c>
      <c r="F46" s="10">
        <v>1385.4</v>
      </c>
    </row>
    <row r="47" spans="1:6">
      <c r="A47" s="5"/>
      <c r="B47" s="5"/>
      <c r="C47" s="5"/>
      <c r="D47" s="5"/>
      <c r="E47" s="5"/>
      <c r="F47" s="5"/>
    </row>
    <row r="48" spans="1:6">
      <c r="A48" s="5" t="s">
        <v>49</v>
      </c>
      <c r="B48" s="9">
        <v>2.9</v>
      </c>
      <c r="C48" s="9">
        <v>2.9</v>
      </c>
      <c r="D48" s="9">
        <v>5.7</v>
      </c>
      <c r="E48" s="9">
        <v>5.8</v>
      </c>
      <c r="F48" s="9">
        <v>5.7</v>
      </c>
    </row>
    <row r="49" spans="1:6">
      <c r="A49" s="5" t="s">
        <v>50</v>
      </c>
      <c r="B49" s="9">
        <v>3</v>
      </c>
      <c r="C49" s="9">
        <v>67.2</v>
      </c>
      <c r="D49" s="9">
        <v>59.1</v>
      </c>
      <c r="E49" s="9">
        <v>96.2</v>
      </c>
      <c r="F49" s="9">
        <v>3.6</v>
      </c>
    </row>
    <row r="50" spans="1:6">
      <c r="A50" s="5" t="s">
        <v>51</v>
      </c>
      <c r="B50" s="9">
        <v>2341.6</v>
      </c>
      <c r="C50" s="9">
        <v>2633.9</v>
      </c>
      <c r="D50" s="9">
        <v>2689.6</v>
      </c>
      <c r="E50" s="9">
        <v>2970.9</v>
      </c>
      <c r="F50" s="9">
        <v>3218.7</v>
      </c>
    </row>
    <row r="51" spans="1:6" ht="12">
      <c r="A51" s="5" t="s">
        <v>52</v>
      </c>
      <c r="B51" s="9" t="s">
        <v>41</v>
      </c>
      <c r="C51" s="9" t="s">
        <v>41</v>
      </c>
      <c r="D51" s="9" t="s">
        <v>41</v>
      </c>
      <c r="E51" s="9" t="s">
        <v>41</v>
      </c>
      <c r="F51" s="9" t="s">
        <v>41</v>
      </c>
    </row>
    <row r="52" spans="1:6">
      <c r="A52" s="5" t="s">
        <v>53</v>
      </c>
      <c r="B52" s="9">
        <v>-44.8</v>
      </c>
      <c r="C52" s="9">
        <v>-38.4</v>
      </c>
      <c r="D52" s="9">
        <v>-21.2</v>
      </c>
      <c r="E52" s="9">
        <v>-30.7</v>
      </c>
      <c r="F52" s="9">
        <v>-64.8</v>
      </c>
    </row>
    <row r="53" spans="1:6">
      <c r="A53" s="8" t="s">
        <v>54</v>
      </c>
      <c r="B53" s="10">
        <v>2302.6999999999998</v>
      </c>
      <c r="C53" s="10">
        <v>2665.6</v>
      </c>
      <c r="D53" s="10">
        <v>2733.2</v>
      </c>
      <c r="E53" s="10">
        <v>3042.2</v>
      </c>
      <c r="F53" s="10">
        <v>3163.2</v>
      </c>
    </row>
    <row r="54" spans="1:6">
      <c r="A54" s="5"/>
      <c r="B54" s="5"/>
      <c r="C54" s="5"/>
      <c r="D54" s="5"/>
      <c r="E54" s="5"/>
      <c r="F54" s="5"/>
    </row>
    <row r="55" spans="1:6">
      <c r="A55" s="8" t="s">
        <v>55</v>
      </c>
      <c r="B55" s="12">
        <v>2302.6999999999998</v>
      </c>
      <c r="C55" s="12">
        <v>2665.6</v>
      </c>
      <c r="D55" s="12">
        <v>2733.2</v>
      </c>
      <c r="E55" s="12">
        <v>3042.2</v>
      </c>
      <c r="F55" s="12">
        <v>3163.2</v>
      </c>
    </row>
    <row r="56" spans="1:6">
      <c r="A56" s="5"/>
      <c r="B56" s="5"/>
      <c r="C56" s="5"/>
      <c r="D56" s="5"/>
      <c r="E56" s="5"/>
      <c r="F56" s="5"/>
    </row>
    <row r="57" spans="1:6">
      <c r="A57" s="8" t="s">
        <v>56</v>
      </c>
      <c r="B57" s="13">
        <v>3321.5</v>
      </c>
      <c r="C57" s="13">
        <v>3799.9</v>
      </c>
      <c r="D57" s="13">
        <v>3964.7</v>
      </c>
      <c r="E57" s="13">
        <v>4299</v>
      </c>
      <c r="F57" s="13">
        <v>4548.6000000000004</v>
      </c>
    </row>
    <row r="58" spans="1:6">
      <c r="A58" s="5"/>
      <c r="B58" s="5"/>
      <c r="C58" s="5"/>
      <c r="D58" s="5"/>
      <c r="E58" s="5"/>
      <c r="F58" s="5"/>
    </row>
    <row r="59" spans="1:6">
      <c r="A59" s="8" t="s">
        <v>57</v>
      </c>
      <c r="B59" s="5"/>
      <c r="C59" s="5"/>
      <c r="D59" s="5"/>
      <c r="E59" s="5"/>
      <c r="F59" s="5"/>
    </row>
    <row r="60" spans="1:6">
      <c r="A60" s="5" t="s">
        <v>58</v>
      </c>
      <c r="B60" s="9">
        <v>571.86305800000002</v>
      </c>
      <c r="C60" s="9">
        <v>574.22629700000005</v>
      </c>
      <c r="D60" s="9">
        <v>574.31727599999999</v>
      </c>
      <c r="E60" s="9">
        <v>575.550072</v>
      </c>
      <c r="F60" s="9">
        <v>570.83358499999997</v>
      </c>
    </row>
    <row r="61" spans="1:6">
      <c r="A61" s="5" t="s">
        <v>59</v>
      </c>
      <c r="B61" s="9">
        <v>571.80383800000004</v>
      </c>
      <c r="C61" s="9">
        <v>574.12891100000002</v>
      </c>
      <c r="D61" s="9">
        <v>574.15957500000002</v>
      </c>
      <c r="E61" s="9">
        <v>575.46468200000004</v>
      </c>
      <c r="F61" s="9">
        <v>570.81167400000004</v>
      </c>
    </row>
    <row r="62" spans="1:6">
      <c r="A62" s="5" t="s">
        <v>60</v>
      </c>
      <c r="B62" s="14">
        <v>4.03</v>
      </c>
      <c r="C62" s="14">
        <v>4.6399999999999997</v>
      </c>
      <c r="D62" s="14">
        <v>4.76</v>
      </c>
      <c r="E62" s="14">
        <v>5.29</v>
      </c>
      <c r="F62" s="14">
        <v>5.54</v>
      </c>
    </row>
    <row r="63" spans="1:6">
      <c r="A63" s="5" t="s">
        <v>61</v>
      </c>
      <c r="B63" s="9">
        <v>2302.6999999999998</v>
      </c>
      <c r="C63" s="9">
        <v>2665.6</v>
      </c>
      <c r="D63" s="9">
        <v>2733.2</v>
      </c>
      <c r="E63" s="9">
        <v>3042.2</v>
      </c>
      <c r="F63" s="9">
        <v>3163.2</v>
      </c>
    </row>
    <row r="64" spans="1:6">
      <c r="A64" s="5" t="s">
        <v>62</v>
      </c>
      <c r="B64" s="14">
        <v>4.03</v>
      </c>
      <c r="C64" s="14">
        <v>4.6399999999999997</v>
      </c>
      <c r="D64" s="14">
        <v>4.76</v>
      </c>
      <c r="E64" s="14">
        <v>5.29</v>
      </c>
      <c r="F64" s="14">
        <v>5.54</v>
      </c>
    </row>
    <row r="65" spans="1:6">
      <c r="A65" s="5" t="s">
        <v>63</v>
      </c>
      <c r="B65" s="9">
        <v>500</v>
      </c>
      <c r="C65" s="9">
        <v>590.6</v>
      </c>
      <c r="D65" s="9">
        <v>650.1</v>
      </c>
      <c r="E65" s="9">
        <v>636.79999999999995</v>
      </c>
      <c r="F65" s="9">
        <v>802.1</v>
      </c>
    </row>
    <row r="66" spans="1:6">
      <c r="A66" s="5" t="s">
        <v>64</v>
      </c>
      <c r="B66" s="9">
        <v>332.8</v>
      </c>
      <c r="C66" s="9">
        <v>415.7</v>
      </c>
      <c r="D66" s="9">
        <v>404.4</v>
      </c>
      <c r="E66" s="9">
        <v>400.6</v>
      </c>
      <c r="F66" s="9">
        <v>572</v>
      </c>
    </row>
    <row r="67" spans="1:6" ht="12">
      <c r="A67" s="5" t="s">
        <v>65</v>
      </c>
      <c r="B67" s="9" t="s">
        <v>66</v>
      </c>
      <c r="C67" s="9">
        <v>1259.2</v>
      </c>
      <c r="D67" s="9">
        <v>1199.2</v>
      </c>
      <c r="E67" s="9">
        <v>1154.4000000000001</v>
      </c>
      <c r="F67" s="9">
        <v>1194.4000000000001</v>
      </c>
    </row>
    <row r="68" spans="1:6" ht="12">
      <c r="A68" s="5" t="s">
        <v>67</v>
      </c>
      <c r="B68" s="15" t="s">
        <v>68</v>
      </c>
      <c r="C68" s="15" t="s">
        <v>68</v>
      </c>
      <c r="D68" s="15" t="s">
        <v>68</v>
      </c>
      <c r="E68" s="15" t="s">
        <v>68</v>
      </c>
      <c r="F68" s="15" t="s">
        <v>68</v>
      </c>
    </row>
    <row r="69" spans="1:6">
      <c r="A69" s="5" t="s">
        <v>69</v>
      </c>
      <c r="B69" s="9">
        <v>1278.7</v>
      </c>
      <c r="C69" s="9">
        <v>1366.4</v>
      </c>
      <c r="D69" s="9">
        <v>1337.5</v>
      </c>
      <c r="E69" s="9">
        <v>1523.6</v>
      </c>
      <c r="F69" s="9">
        <v>1708</v>
      </c>
    </row>
    <row r="70" spans="1:6">
      <c r="A70" s="5" t="s">
        <v>70</v>
      </c>
      <c r="B70" s="9">
        <v>36.299999999999997</v>
      </c>
      <c r="C70" s="9">
        <v>41.8</v>
      </c>
      <c r="D70" s="9">
        <v>51.9</v>
      </c>
      <c r="E70" s="9">
        <v>58.3</v>
      </c>
      <c r="F70" s="9">
        <v>67.5</v>
      </c>
    </row>
    <row r="71" spans="1:6">
      <c r="A71" s="5" t="s">
        <v>71</v>
      </c>
      <c r="B71" s="9">
        <v>323.10000000000002</v>
      </c>
      <c r="C71" s="9">
        <v>423.7</v>
      </c>
      <c r="D71" s="9">
        <v>450.4</v>
      </c>
      <c r="E71" s="9">
        <v>501.9</v>
      </c>
      <c r="F71" s="9">
        <v>509.2</v>
      </c>
    </row>
    <row r="72" spans="1:6">
      <c r="A72" s="5" t="s">
        <v>72</v>
      </c>
      <c r="B72" s="9">
        <v>1234.5999999999999</v>
      </c>
      <c r="C72" s="9">
        <v>1369.4</v>
      </c>
      <c r="D72" s="9">
        <v>1483.3</v>
      </c>
      <c r="E72" s="9">
        <v>1564.3</v>
      </c>
      <c r="F72" s="9">
        <v>1638.7</v>
      </c>
    </row>
    <row r="73" spans="1:6">
      <c r="A73" s="5" t="s">
        <v>73</v>
      </c>
      <c r="B73" s="9">
        <v>152.19999999999999</v>
      </c>
      <c r="C73" s="9">
        <v>132</v>
      </c>
      <c r="D73" s="9">
        <v>99</v>
      </c>
      <c r="E73" s="9">
        <v>72.7</v>
      </c>
      <c r="F73" s="9">
        <v>96</v>
      </c>
    </row>
    <row r="74" spans="1:6">
      <c r="A74" s="5" t="s">
        <v>74</v>
      </c>
      <c r="B74" s="16">
        <v>21644</v>
      </c>
      <c r="C74" s="16">
        <v>21948</v>
      </c>
      <c r="D74" s="16">
        <v>17836</v>
      </c>
      <c r="E74" s="16">
        <v>18370</v>
      </c>
      <c r="F74" s="16">
        <v>19854</v>
      </c>
    </row>
    <row r="75" spans="1:6">
      <c r="A75" s="5" t="s">
        <v>75</v>
      </c>
      <c r="B75" s="9">
        <v>12.8</v>
      </c>
      <c r="C75" s="9">
        <v>10.9</v>
      </c>
      <c r="D75" s="9">
        <v>12.3</v>
      </c>
      <c r="E75" s="9">
        <v>12</v>
      </c>
      <c r="F75" s="9">
        <v>8.3000000000000007</v>
      </c>
    </row>
    <row r="76" spans="1:6">
      <c r="A76" s="5" t="s">
        <v>76</v>
      </c>
      <c r="B76" s="17">
        <v>44235</v>
      </c>
      <c r="C76" s="17">
        <v>44599</v>
      </c>
      <c r="D76" s="17">
        <v>44964</v>
      </c>
      <c r="E76" s="17">
        <v>44964</v>
      </c>
      <c r="F76" s="17">
        <v>44964</v>
      </c>
    </row>
    <row r="77" spans="1:6" ht="12">
      <c r="A77" s="5" t="s">
        <v>77</v>
      </c>
      <c r="B77" s="15" t="s">
        <v>78</v>
      </c>
      <c r="C77" s="15" t="s">
        <v>78</v>
      </c>
      <c r="D77" s="15" t="s">
        <v>78</v>
      </c>
      <c r="E77" s="15" t="s">
        <v>78</v>
      </c>
      <c r="F77" s="15" t="s">
        <v>79</v>
      </c>
    </row>
    <row r="78" spans="1:6" ht="12">
      <c r="A78" s="5" t="s">
        <v>80</v>
      </c>
      <c r="B78" s="15" t="s">
        <v>81</v>
      </c>
      <c r="C78" s="15" t="s">
        <v>81</v>
      </c>
      <c r="D78" s="15" t="s">
        <v>81</v>
      </c>
      <c r="E78" s="15" t="s">
        <v>82</v>
      </c>
      <c r="F78" s="15" t="s">
        <v>82</v>
      </c>
    </row>
    <row r="79" spans="1:6">
      <c r="A79" s="5"/>
      <c r="B79" s="5"/>
      <c r="C79" s="5"/>
      <c r="D79" s="5"/>
      <c r="E79" s="5"/>
      <c r="F79" s="5"/>
    </row>
    <row r="80" spans="1:6">
      <c r="A80" s="18"/>
      <c r="B80" s="18"/>
      <c r="C80" s="18"/>
      <c r="D80" s="18"/>
      <c r="E80" s="18"/>
      <c r="F80" s="18"/>
    </row>
    <row r="81" spans="1:1">
      <c r="A81" s="1" t="s">
        <v>83</v>
      </c>
    </row>
    <row r="82" spans="1:1">
      <c r="A82" s="20" t="s">
        <v>84</v>
      </c>
    </row>
  </sheetData>
  <phoneticPr fontId="2"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F87D8-17E6-44AD-89FF-E51B3C905066}">
  <dimension ref="A5:IU73"/>
  <sheetViews>
    <sheetView topLeftCell="A31" zoomScale="124" workbookViewId="0">
      <selection activeCell="B31" sqref="B31"/>
    </sheetView>
  </sheetViews>
  <sheetFormatPr baseColWidth="10" defaultColWidth="8.83203125" defaultRowHeight="11"/>
  <cols>
    <col min="1" max="1" width="45.83203125" style="1" customWidth="1"/>
    <col min="2" max="6" width="14.83203125" style="1" customWidth="1"/>
    <col min="7" max="256" width="8.83203125" style="1"/>
    <col min="257" max="257" width="45.83203125" style="1" customWidth="1"/>
    <col min="258" max="262" width="14.83203125" style="1" customWidth="1"/>
    <col min="263" max="512" width="8.83203125" style="1"/>
    <col min="513" max="513" width="45.83203125" style="1" customWidth="1"/>
    <col min="514" max="518" width="14.83203125" style="1" customWidth="1"/>
    <col min="519" max="768" width="8.83203125" style="1"/>
    <col min="769" max="769" width="45.83203125" style="1" customWidth="1"/>
    <col min="770" max="774" width="14.83203125" style="1" customWidth="1"/>
    <col min="775" max="1024" width="8.83203125" style="1"/>
    <col min="1025" max="1025" width="45.83203125" style="1" customWidth="1"/>
    <col min="1026" max="1030" width="14.83203125" style="1" customWidth="1"/>
    <col min="1031" max="1280" width="8.83203125" style="1"/>
    <col min="1281" max="1281" width="45.83203125" style="1" customWidth="1"/>
    <col min="1282" max="1286" width="14.83203125" style="1" customWidth="1"/>
    <col min="1287" max="1536" width="8.83203125" style="1"/>
    <col min="1537" max="1537" width="45.83203125" style="1" customWidth="1"/>
    <col min="1538" max="1542" width="14.83203125" style="1" customWidth="1"/>
    <col min="1543" max="1792" width="8.83203125" style="1"/>
    <col min="1793" max="1793" width="45.83203125" style="1" customWidth="1"/>
    <col min="1794" max="1798" width="14.83203125" style="1" customWidth="1"/>
    <col min="1799" max="2048" width="8.83203125" style="1"/>
    <col min="2049" max="2049" width="45.83203125" style="1" customWidth="1"/>
    <col min="2050" max="2054" width="14.83203125" style="1" customWidth="1"/>
    <col min="2055" max="2304" width="8.83203125" style="1"/>
    <col min="2305" max="2305" width="45.83203125" style="1" customWidth="1"/>
    <col min="2306" max="2310" width="14.83203125" style="1" customWidth="1"/>
    <col min="2311" max="2560" width="8.83203125" style="1"/>
    <col min="2561" max="2561" width="45.83203125" style="1" customWidth="1"/>
    <col min="2562" max="2566" width="14.83203125" style="1" customWidth="1"/>
    <col min="2567" max="2816" width="8.83203125" style="1"/>
    <col min="2817" max="2817" width="45.83203125" style="1" customWidth="1"/>
    <col min="2818" max="2822" width="14.83203125" style="1" customWidth="1"/>
    <col min="2823" max="3072" width="8.83203125" style="1"/>
    <col min="3073" max="3073" width="45.83203125" style="1" customWidth="1"/>
    <col min="3074" max="3078" width="14.83203125" style="1" customWidth="1"/>
    <col min="3079" max="3328" width="8.83203125" style="1"/>
    <col min="3329" max="3329" width="45.83203125" style="1" customWidth="1"/>
    <col min="3330" max="3334" width="14.83203125" style="1" customWidth="1"/>
    <col min="3335" max="3584" width="8.83203125" style="1"/>
    <col min="3585" max="3585" width="45.83203125" style="1" customWidth="1"/>
    <col min="3586" max="3590" width="14.83203125" style="1" customWidth="1"/>
    <col min="3591" max="3840" width="8.83203125" style="1"/>
    <col min="3841" max="3841" width="45.83203125" style="1" customWidth="1"/>
    <col min="3842" max="3846" width="14.83203125" style="1" customWidth="1"/>
    <col min="3847" max="4096" width="8.83203125" style="1"/>
    <col min="4097" max="4097" width="45.83203125" style="1" customWidth="1"/>
    <col min="4098" max="4102" width="14.83203125" style="1" customWidth="1"/>
    <col min="4103" max="4352" width="8.83203125" style="1"/>
    <col min="4353" max="4353" width="45.83203125" style="1" customWidth="1"/>
    <col min="4354" max="4358" width="14.83203125" style="1" customWidth="1"/>
    <col min="4359" max="4608" width="8.83203125" style="1"/>
    <col min="4609" max="4609" width="45.83203125" style="1" customWidth="1"/>
    <col min="4610" max="4614" width="14.83203125" style="1" customWidth="1"/>
    <col min="4615" max="4864" width="8.83203125" style="1"/>
    <col min="4865" max="4865" width="45.83203125" style="1" customWidth="1"/>
    <col min="4866" max="4870" width="14.83203125" style="1" customWidth="1"/>
    <col min="4871" max="5120" width="8.83203125" style="1"/>
    <col min="5121" max="5121" width="45.83203125" style="1" customWidth="1"/>
    <col min="5122" max="5126" width="14.83203125" style="1" customWidth="1"/>
    <col min="5127" max="5376" width="8.83203125" style="1"/>
    <col min="5377" max="5377" width="45.83203125" style="1" customWidth="1"/>
    <col min="5378" max="5382" width="14.83203125" style="1" customWidth="1"/>
    <col min="5383" max="5632" width="8.83203125" style="1"/>
    <col min="5633" max="5633" width="45.83203125" style="1" customWidth="1"/>
    <col min="5634" max="5638" width="14.83203125" style="1" customWidth="1"/>
    <col min="5639" max="5888" width="8.83203125" style="1"/>
    <col min="5889" max="5889" width="45.83203125" style="1" customWidth="1"/>
    <col min="5890" max="5894" width="14.83203125" style="1" customWidth="1"/>
    <col min="5895" max="6144" width="8.83203125" style="1"/>
    <col min="6145" max="6145" width="45.83203125" style="1" customWidth="1"/>
    <col min="6146" max="6150" width="14.83203125" style="1" customWidth="1"/>
    <col min="6151" max="6400" width="8.83203125" style="1"/>
    <col min="6401" max="6401" width="45.83203125" style="1" customWidth="1"/>
    <col min="6402" max="6406" width="14.83203125" style="1" customWidth="1"/>
    <col min="6407" max="6656" width="8.83203125" style="1"/>
    <col min="6657" max="6657" width="45.83203125" style="1" customWidth="1"/>
    <col min="6658" max="6662" width="14.83203125" style="1" customWidth="1"/>
    <col min="6663" max="6912" width="8.83203125" style="1"/>
    <col min="6913" max="6913" width="45.83203125" style="1" customWidth="1"/>
    <col min="6914" max="6918" width="14.83203125" style="1" customWidth="1"/>
    <col min="6919" max="7168" width="8.83203125" style="1"/>
    <col min="7169" max="7169" width="45.83203125" style="1" customWidth="1"/>
    <col min="7170" max="7174" width="14.83203125" style="1" customWidth="1"/>
    <col min="7175" max="7424" width="8.83203125" style="1"/>
    <col min="7425" max="7425" width="45.83203125" style="1" customWidth="1"/>
    <col min="7426" max="7430" width="14.83203125" style="1" customWidth="1"/>
    <col min="7431" max="7680" width="8.83203125" style="1"/>
    <col min="7681" max="7681" width="45.83203125" style="1" customWidth="1"/>
    <col min="7682" max="7686" width="14.83203125" style="1" customWidth="1"/>
    <col min="7687" max="7936" width="8.83203125" style="1"/>
    <col min="7937" max="7937" width="45.83203125" style="1" customWidth="1"/>
    <col min="7938" max="7942" width="14.83203125" style="1" customWidth="1"/>
    <col min="7943" max="8192" width="8.83203125" style="1"/>
    <col min="8193" max="8193" width="45.83203125" style="1" customWidth="1"/>
    <col min="8194" max="8198" width="14.83203125" style="1" customWidth="1"/>
    <col min="8199" max="8448" width="8.83203125" style="1"/>
    <col min="8449" max="8449" width="45.83203125" style="1" customWidth="1"/>
    <col min="8450" max="8454" width="14.83203125" style="1" customWidth="1"/>
    <col min="8455" max="8704" width="8.83203125" style="1"/>
    <col min="8705" max="8705" width="45.83203125" style="1" customWidth="1"/>
    <col min="8706" max="8710" width="14.83203125" style="1" customWidth="1"/>
    <col min="8711" max="8960" width="8.83203125" style="1"/>
    <col min="8961" max="8961" width="45.83203125" style="1" customWidth="1"/>
    <col min="8962" max="8966" width="14.83203125" style="1" customWidth="1"/>
    <col min="8967" max="9216" width="8.83203125" style="1"/>
    <col min="9217" max="9217" width="45.83203125" style="1" customWidth="1"/>
    <col min="9218" max="9222" width="14.83203125" style="1" customWidth="1"/>
    <col min="9223" max="9472" width="8.83203125" style="1"/>
    <col min="9473" max="9473" width="45.83203125" style="1" customWidth="1"/>
    <col min="9474" max="9478" width="14.83203125" style="1" customWidth="1"/>
    <col min="9479" max="9728" width="8.83203125" style="1"/>
    <col min="9729" max="9729" width="45.83203125" style="1" customWidth="1"/>
    <col min="9730" max="9734" width="14.83203125" style="1" customWidth="1"/>
    <col min="9735" max="9984" width="8.83203125" style="1"/>
    <col min="9985" max="9985" width="45.83203125" style="1" customWidth="1"/>
    <col min="9986" max="9990" width="14.83203125" style="1" customWidth="1"/>
    <col min="9991" max="10240" width="8.83203125" style="1"/>
    <col min="10241" max="10241" width="45.83203125" style="1" customWidth="1"/>
    <col min="10242" max="10246" width="14.83203125" style="1" customWidth="1"/>
    <col min="10247" max="10496" width="8.83203125" style="1"/>
    <col min="10497" max="10497" width="45.83203125" style="1" customWidth="1"/>
    <col min="10498" max="10502" width="14.83203125" style="1" customWidth="1"/>
    <col min="10503" max="10752" width="8.83203125" style="1"/>
    <col min="10753" max="10753" width="45.83203125" style="1" customWidth="1"/>
    <col min="10754" max="10758" width="14.83203125" style="1" customWidth="1"/>
    <col min="10759" max="11008" width="8.83203125" style="1"/>
    <col min="11009" max="11009" width="45.83203125" style="1" customWidth="1"/>
    <col min="11010" max="11014" width="14.83203125" style="1" customWidth="1"/>
    <col min="11015" max="11264" width="8.83203125" style="1"/>
    <col min="11265" max="11265" width="45.83203125" style="1" customWidth="1"/>
    <col min="11266" max="11270" width="14.83203125" style="1" customWidth="1"/>
    <col min="11271" max="11520" width="8.83203125" style="1"/>
    <col min="11521" max="11521" width="45.83203125" style="1" customWidth="1"/>
    <col min="11522" max="11526" width="14.83203125" style="1" customWidth="1"/>
    <col min="11527" max="11776" width="8.83203125" style="1"/>
    <col min="11777" max="11777" width="45.83203125" style="1" customWidth="1"/>
    <col min="11778" max="11782" width="14.83203125" style="1" customWidth="1"/>
    <col min="11783" max="12032" width="8.83203125" style="1"/>
    <col min="12033" max="12033" width="45.83203125" style="1" customWidth="1"/>
    <col min="12034" max="12038" width="14.83203125" style="1" customWidth="1"/>
    <col min="12039" max="12288" width="8.83203125" style="1"/>
    <col min="12289" max="12289" width="45.83203125" style="1" customWidth="1"/>
    <col min="12290" max="12294" width="14.83203125" style="1" customWidth="1"/>
    <col min="12295" max="12544" width="8.83203125" style="1"/>
    <col min="12545" max="12545" width="45.83203125" style="1" customWidth="1"/>
    <col min="12546" max="12550" width="14.83203125" style="1" customWidth="1"/>
    <col min="12551" max="12800" width="8.83203125" style="1"/>
    <col min="12801" max="12801" width="45.83203125" style="1" customWidth="1"/>
    <col min="12802" max="12806" width="14.83203125" style="1" customWidth="1"/>
    <col min="12807" max="13056" width="8.83203125" style="1"/>
    <col min="13057" max="13057" width="45.83203125" style="1" customWidth="1"/>
    <col min="13058" max="13062" width="14.83203125" style="1" customWidth="1"/>
    <col min="13063" max="13312" width="8.83203125" style="1"/>
    <col min="13313" max="13313" width="45.83203125" style="1" customWidth="1"/>
    <col min="13314" max="13318" width="14.83203125" style="1" customWidth="1"/>
    <col min="13319" max="13568" width="8.83203125" style="1"/>
    <col min="13569" max="13569" width="45.83203125" style="1" customWidth="1"/>
    <col min="13570" max="13574" width="14.83203125" style="1" customWidth="1"/>
    <col min="13575" max="13824" width="8.83203125" style="1"/>
    <col min="13825" max="13825" width="45.83203125" style="1" customWidth="1"/>
    <col min="13826" max="13830" width="14.83203125" style="1" customWidth="1"/>
    <col min="13831" max="14080" width="8.83203125" style="1"/>
    <col min="14081" max="14081" width="45.83203125" style="1" customWidth="1"/>
    <col min="14082" max="14086" width="14.83203125" style="1" customWidth="1"/>
    <col min="14087" max="14336" width="8.83203125" style="1"/>
    <col min="14337" max="14337" width="45.83203125" style="1" customWidth="1"/>
    <col min="14338" max="14342" width="14.83203125" style="1" customWidth="1"/>
    <col min="14343" max="14592" width="8.83203125" style="1"/>
    <col min="14593" max="14593" width="45.83203125" style="1" customWidth="1"/>
    <col min="14594" max="14598" width="14.83203125" style="1" customWidth="1"/>
    <col min="14599" max="14848" width="8.83203125" style="1"/>
    <col min="14849" max="14849" width="45.83203125" style="1" customWidth="1"/>
    <col min="14850" max="14854" width="14.83203125" style="1" customWidth="1"/>
    <col min="14855" max="15104" width="8.83203125" style="1"/>
    <col min="15105" max="15105" width="45.83203125" style="1" customWidth="1"/>
    <col min="15106" max="15110" width="14.83203125" style="1" customWidth="1"/>
    <col min="15111" max="15360" width="8.83203125" style="1"/>
    <col min="15361" max="15361" width="45.83203125" style="1" customWidth="1"/>
    <col min="15362" max="15366" width="14.83203125" style="1" customWidth="1"/>
    <col min="15367" max="15616" width="8.83203125" style="1"/>
    <col min="15617" max="15617" width="45.83203125" style="1" customWidth="1"/>
    <col min="15618" max="15622" width="14.83203125" style="1" customWidth="1"/>
    <col min="15623" max="15872" width="8.83203125" style="1"/>
    <col min="15873" max="15873" width="45.83203125" style="1" customWidth="1"/>
    <col min="15874" max="15878" width="14.83203125" style="1" customWidth="1"/>
    <col min="15879" max="16128" width="8.83203125" style="1"/>
    <col min="16129" max="16129" width="45.83203125" style="1" customWidth="1"/>
    <col min="16130" max="16134" width="14.83203125" style="1" customWidth="1"/>
    <col min="16135" max="16384" width="8.83203125" style="1"/>
  </cols>
  <sheetData>
    <row r="5" spans="1:255" ht="17">
      <c r="A5" s="2" t="s">
        <v>85</v>
      </c>
    </row>
    <row r="7" spans="1:255" ht="12">
      <c r="A7" s="3" t="s">
        <v>1</v>
      </c>
      <c r="B7" s="4" t="s">
        <v>2</v>
      </c>
      <c r="C7" s="1" t="s">
        <v>3</v>
      </c>
      <c r="D7" s="5" t="s">
        <v>4</v>
      </c>
      <c r="E7" s="4" t="s">
        <v>5</v>
      </c>
      <c r="F7" s="1" t="s">
        <v>6</v>
      </c>
    </row>
    <row r="8" spans="1:255">
      <c r="A8" s="5"/>
      <c r="B8" s="4" t="s">
        <v>7</v>
      </c>
      <c r="C8" s="1" t="s">
        <v>8</v>
      </c>
      <c r="D8" s="5" t="s">
        <v>4</v>
      </c>
      <c r="E8" s="4" t="s">
        <v>9</v>
      </c>
      <c r="F8" s="1" t="s">
        <v>10</v>
      </c>
    </row>
    <row r="9" spans="1:255">
      <c r="A9" s="5"/>
      <c r="B9" s="4" t="s">
        <v>11</v>
      </c>
      <c r="C9" s="1" t="s">
        <v>12</v>
      </c>
      <c r="D9" s="5" t="s">
        <v>4</v>
      </c>
      <c r="E9" s="4" t="s">
        <v>13</v>
      </c>
      <c r="F9" s="1" t="s">
        <v>14</v>
      </c>
    </row>
    <row r="10" spans="1:255">
      <c r="A10" s="5"/>
      <c r="B10" s="4" t="s">
        <v>15</v>
      </c>
      <c r="C10" s="1" t="s">
        <v>16</v>
      </c>
      <c r="D10" s="5" t="s">
        <v>4</v>
      </c>
      <c r="E10" s="4" t="s">
        <v>17</v>
      </c>
      <c r="F10" s="6" t="s">
        <v>18</v>
      </c>
    </row>
    <row r="13" spans="1:255">
      <c r="A13" s="7" t="s">
        <v>86</v>
      </c>
      <c r="B13" s="7"/>
      <c r="C13" s="7"/>
      <c r="D13" s="7"/>
      <c r="E13" s="7"/>
      <c r="F13" s="7"/>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s="28" customFormat="1" ht="24">
      <c r="A14" s="26" t="s">
        <v>87</v>
      </c>
      <c r="B14" s="27" t="s">
        <v>88</v>
      </c>
      <c r="C14" s="27" t="s">
        <v>89</v>
      </c>
      <c r="D14" s="27" t="s">
        <v>90</v>
      </c>
      <c r="E14" s="27" t="s">
        <v>91</v>
      </c>
      <c r="F14" s="27" t="s">
        <v>92</v>
      </c>
    </row>
    <row r="15" spans="1:255" s="28" customFormat="1" ht="12">
      <c r="A15" s="29" t="s">
        <v>21</v>
      </c>
      <c r="B15" s="30" t="s">
        <v>22</v>
      </c>
      <c r="C15" s="30" t="s">
        <v>22</v>
      </c>
      <c r="D15" s="30" t="s">
        <v>22</v>
      </c>
      <c r="E15" s="30" t="s">
        <v>22</v>
      </c>
      <c r="F15" s="30" t="s">
        <v>22</v>
      </c>
    </row>
    <row r="16" spans="1:255">
      <c r="A16" s="8" t="s">
        <v>93</v>
      </c>
      <c r="B16" s="5"/>
      <c r="C16" s="5"/>
      <c r="D16" s="5"/>
      <c r="E16" s="5"/>
      <c r="F16" s="5"/>
    </row>
    <row r="17" spans="1:6">
      <c r="A17" s="8" t="s">
        <v>94</v>
      </c>
      <c r="B17" s="21">
        <v>751.9</v>
      </c>
      <c r="C17" s="21">
        <v>790.9</v>
      </c>
      <c r="D17" s="21">
        <v>859.1</v>
      </c>
      <c r="E17" s="21">
        <v>925</v>
      </c>
      <c r="F17" s="21">
        <v>1086.9000000000001</v>
      </c>
    </row>
    <row r="18" spans="1:6">
      <c r="A18" s="5" t="s">
        <v>95</v>
      </c>
      <c r="B18" s="9">
        <v>134.1</v>
      </c>
      <c r="C18" s="9">
        <v>144.6</v>
      </c>
      <c r="D18" s="9">
        <v>153.30000000000001</v>
      </c>
      <c r="E18" s="9">
        <v>159.9</v>
      </c>
      <c r="F18" s="9">
        <v>165.9</v>
      </c>
    </row>
    <row r="19" spans="1:6">
      <c r="A19" s="5" t="s">
        <v>96</v>
      </c>
      <c r="B19" s="9">
        <v>4.0999999999999996</v>
      </c>
      <c r="C19" s="9">
        <v>4.0999999999999996</v>
      </c>
      <c r="D19" s="9">
        <v>9.1</v>
      </c>
      <c r="E19" s="9">
        <v>10.8</v>
      </c>
      <c r="F19" s="9">
        <v>10.7</v>
      </c>
    </row>
    <row r="20" spans="1:6">
      <c r="A20" s="8" t="s">
        <v>97</v>
      </c>
      <c r="B20" s="10">
        <v>138.19999999999999</v>
      </c>
      <c r="C20" s="10">
        <v>148.69999999999999</v>
      </c>
      <c r="D20" s="10">
        <v>162.4</v>
      </c>
      <c r="E20" s="10">
        <v>170.7</v>
      </c>
      <c r="F20" s="10">
        <v>176.6</v>
      </c>
    </row>
    <row r="21" spans="1:6">
      <c r="A21" s="5"/>
      <c r="B21" s="5"/>
      <c r="C21" s="5"/>
      <c r="D21" s="5"/>
      <c r="E21" s="5"/>
      <c r="F21" s="5"/>
    </row>
    <row r="22" spans="1:6">
      <c r="A22" s="5" t="s">
        <v>98</v>
      </c>
      <c r="B22" s="9">
        <v>-0.5</v>
      </c>
      <c r="C22" s="9">
        <v>-1.2</v>
      </c>
      <c r="D22" s="9">
        <v>-1.4</v>
      </c>
      <c r="E22" s="9">
        <v>-1.1000000000000001</v>
      </c>
      <c r="F22" s="9">
        <v>1.1000000000000001</v>
      </c>
    </row>
    <row r="23" spans="1:6">
      <c r="A23" s="5" t="s">
        <v>99</v>
      </c>
      <c r="B23" s="9">
        <v>5.0999999999999996</v>
      </c>
      <c r="C23" s="9">
        <v>5.7</v>
      </c>
      <c r="D23" s="9">
        <v>5.7</v>
      </c>
      <c r="E23" s="9">
        <v>5.6</v>
      </c>
      <c r="F23" s="9">
        <v>7.2</v>
      </c>
    </row>
    <row r="24" spans="1:6">
      <c r="A24" s="5" t="s">
        <v>100</v>
      </c>
      <c r="B24" s="9">
        <v>8.1</v>
      </c>
      <c r="C24" s="9">
        <v>5.5</v>
      </c>
      <c r="D24" s="9">
        <v>7.5</v>
      </c>
      <c r="E24" s="9">
        <v>2.5</v>
      </c>
      <c r="F24" s="9">
        <v>-1.8</v>
      </c>
    </row>
    <row r="25" spans="1:6">
      <c r="A25" s="5" t="s">
        <v>101</v>
      </c>
      <c r="B25" s="9">
        <v>33.799999999999997</v>
      </c>
      <c r="C25" s="9">
        <v>15</v>
      </c>
      <c r="D25" s="9">
        <v>2.9</v>
      </c>
      <c r="E25" s="9">
        <v>-13.7</v>
      </c>
      <c r="F25" s="9">
        <v>-4.9000000000000004</v>
      </c>
    </row>
    <row r="26" spans="1:6">
      <c r="A26" s="5" t="s">
        <v>102</v>
      </c>
      <c r="B26" s="9">
        <v>-120.3</v>
      </c>
      <c r="C26" s="9">
        <v>-30.4</v>
      </c>
      <c r="D26" s="9">
        <v>-29.7</v>
      </c>
      <c r="E26" s="9">
        <v>-135.19999999999999</v>
      </c>
      <c r="F26" s="9">
        <v>-119.8</v>
      </c>
    </row>
    <row r="27" spans="1:6">
      <c r="A27" s="5" t="s">
        <v>103</v>
      </c>
      <c r="B27" s="9">
        <v>-193.3</v>
      </c>
      <c r="C27" s="9">
        <v>-84.4</v>
      </c>
      <c r="D27" s="9">
        <v>36</v>
      </c>
      <c r="E27" s="9">
        <v>-189.5</v>
      </c>
      <c r="F27" s="9">
        <v>-198</v>
      </c>
    </row>
    <row r="28" spans="1:6">
      <c r="A28" s="5" t="s">
        <v>104</v>
      </c>
      <c r="B28" s="9">
        <v>46.1</v>
      </c>
      <c r="C28" s="9">
        <v>-0.8</v>
      </c>
      <c r="D28" s="9">
        <v>14.2</v>
      </c>
      <c r="E28" s="9">
        <v>26.1</v>
      </c>
      <c r="F28" s="9">
        <v>21.9</v>
      </c>
    </row>
    <row r="29" spans="1:6">
      <c r="A29" s="5" t="s">
        <v>105</v>
      </c>
      <c r="B29" s="9">
        <v>-15.5</v>
      </c>
      <c r="C29" s="9">
        <v>-7.7</v>
      </c>
      <c r="D29" s="9">
        <v>10</v>
      </c>
      <c r="E29" s="9">
        <v>-1.8</v>
      </c>
      <c r="F29" s="9">
        <v>0.4</v>
      </c>
    </row>
    <row r="30" spans="1:6">
      <c r="A30" s="5" t="s">
        <v>106</v>
      </c>
      <c r="B30" s="9">
        <v>20.6</v>
      </c>
      <c r="C30" s="9">
        <v>1.4</v>
      </c>
      <c r="D30" s="9">
        <v>35.1</v>
      </c>
      <c r="E30" s="9">
        <v>-18.5</v>
      </c>
      <c r="F30" s="9">
        <v>-28.6</v>
      </c>
    </row>
    <row r="31" spans="1:6">
      <c r="A31" s="8" t="s">
        <v>107</v>
      </c>
      <c r="B31" s="10">
        <v>674.2</v>
      </c>
      <c r="C31" s="10">
        <v>842.7</v>
      </c>
      <c r="D31" s="10">
        <v>1101.8</v>
      </c>
      <c r="E31" s="10">
        <v>770.1</v>
      </c>
      <c r="F31" s="10">
        <v>941</v>
      </c>
    </row>
    <row r="32" spans="1:6">
      <c r="A32" s="5"/>
      <c r="B32" s="5"/>
      <c r="C32" s="5"/>
      <c r="D32" s="5"/>
      <c r="E32" s="5"/>
      <c r="F32" s="5"/>
    </row>
    <row r="33" spans="1:6">
      <c r="A33" s="5" t="s">
        <v>108</v>
      </c>
      <c r="B33" s="9">
        <v>-176.3</v>
      </c>
      <c r="C33" s="9">
        <v>-246.4</v>
      </c>
      <c r="D33" s="9">
        <v>-168.1</v>
      </c>
      <c r="E33" s="9">
        <v>-156.6</v>
      </c>
      <c r="F33" s="9">
        <v>-173.8</v>
      </c>
    </row>
    <row r="34" spans="1:6">
      <c r="A34" s="5" t="s">
        <v>109</v>
      </c>
      <c r="B34" s="9">
        <v>9.5</v>
      </c>
      <c r="C34" s="9">
        <v>6.6</v>
      </c>
      <c r="D34" s="9">
        <v>10.6</v>
      </c>
      <c r="E34" s="9">
        <v>8.4</v>
      </c>
      <c r="F34" s="9">
        <v>11.4</v>
      </c>
    </row>
    <row r="35" spans="1:6" ht="12">
      <c r="A35" s="5" t="s">
        <v>110</v>
      </c>
      <c r="B35" s="9">
        <v>-3.7</v>
      </c>
      <c r="C35" s="9" t="s">
        <v>41</v>
      </c>
      <c r="D35" s="9">
        <v>-125</v>
      </c>
      <c r="E35" s="9" t="s">
        <v>41</v>
      </c>
      <c r="F35" s="9" t="s">
        <v>41</v>
      </c>
    </row>
    <row r="36" spans="1:6" ht="12">
      <c r="A36" s="5" t="s">
        <v>111</v>
      </c>
      <c r="B36" s="9" t="s">
        <v>41</v>
      </c>
      <c r="C36" s="9" t="s">
        <v>41</v>
      </c>
      <c r="D36" s="9" t="s">
        <v>41</v>
      </c>
      <c r="E36" s="9" t="s">
        <v>41</v>
      </c>
      <c r="F36" s="9" t="s">
        <v>41</v>
      </c>
    </row>
    <row r="37" spans="1:6" ht="12">
      <c r="A37" s="5" t="s">
        <v>112</v>
      </c>
      <c r="B37" s="9" t="s">
        <v>41</v>
      </c>
      <c r="C37" s="9" t="s">
        <v>41</v>
      </c>
      <c r="D37" s="9" t="s">
        <v>41</v>
      </c>
      <c r="E37" s="9" t="s">
        <v>41</v>
      </c>
      <c r="F37" s="9" t="s">
        <v>41</v>
      </c>
    </row>
    <row r="38" spans="1:6" ht="12">
      <c r="A38" s="5" t="s">
        <v>113</v>
      </c>
      <c r="B38" s="9" t="s">
        <v>41</v>
      </c>
      <c r="C38" s="9" t="s">
        <v>41</v>
      </c>
      <c r="D38" s="9" t="s">
        <v>41</v>
      </c>
      <c r="E38" s="9" t="s">
        <v>41</v>
      </c>
      <c r="F38" s="9" t="s">
        <v>41</v>
      </c>
    </row>
    <row r="39" spans="1:6">
      <c r="A39" s="5" t="s">
        <v>114</v>
      </c>
      <c r="B39" s="9">
        <v>-3.4</v>
      </c>
      <c r="C39" s="9">
        <v>0.1</v>
      </c>
      <c r="D39" s="9">
        <v>0.8</v>
      </c>
      <c r="E39" s="9">
        <v>-0.3</v>
      </c>
      <c r="F39" s="9">
        <v>-0.6</v>
      </c>
    </row>
    <row r="40" spans="1:6">
      <c r="A40" s="8" t="s">
        <v>115</v>
      </c>
      <c r="B40" s="10">
        <v>-173.9</v>
      </c>
      <c r="C40" s="10">
        <v>-239.7</v>
      </c>
      <c r="D40" s="10">
        <v>-281.7</v>
      </c>
      <c r="E40" s="10">
        <v>-148.5</v>
      </c>
      <c r="F40" s="10">
        <v>-163</v>
      </c>
    </row>
    <row r="41" spans="1:6">
      <c r="A41" s="5"/>
      <c r="B41" s="5"/>
      <c r="C41" s="5"/>
      <c r="D41" s="5"/>
      <c r="E41" s="5"/>
      <c r="F41" s="5"/>
    </row>
    <row r="42" spans="1:6" ht="12">
      <c r="A42" s="5" t="s">
        <v>116</v>
      </c>
      <c r="B42" s="9" t="s">
        <v>41</v>
      </c>
      <c r="C42" s="9" t="s">
        <v>41</v>
      </c>
      <c r="D42" s="9" t="s">
        <v>41</v>
      </c>
      <c r="E42" s="9" t="s">
        <v>41</v>
      </c>
      <c r="F42" s="9" t="s">
        <v>41</v>
      </c>
    </row>
    <row r="43" spans="1:6">
      <c r="A43" s="5" t="s">
        <v>117</v>
      </c>
      <c r="B43" s="9">
        <v>980</v>
      </c>
      <c r="C43" s="9">
        <v>910</v>
      </c>
      <c r="D43" s="9">
        <v>1000</v>
      </c>
      <c r="E43" s="9">
        <v>525</v>
      </c>
      <c r="F43" s="9">
        <v>1795</v>
      </c>
    </row>
    <row r="44" spans="1:6">
      <c r="A44" s="8" t="s">
        <v>118</v>
      </c>
      <c r="B44" s="10">
        <v>980</v>
      </c>
      <c r="C44" s="10">
        <v>910</v>
      </c>
      <c r="D44" s="10">
        <v>1000</v>
      </c>
      <c r="E44" s="10">
        <v>525</v>
      </c>
      <c r="F44" s="10">
        <v>1795</v>
      </c>
    </row>
    <row r="45" spans="1:6" ht="12">
      <c r="A45" s="5" t="s">
        <v>119</v>
      </c>
      <c r="B45" s="9" t="s">
        <v>41</v>
      </c>
      <c r="C45" s="9" t="s">
        <v>41</v>
      </c>
      <c r="D45" s="9" t="s">
        <v>41</v>
      </c>
      <c r="E45" s="9" t="s">
        <v>41</v>
      </c>
      <c r="F45" s="9" t="s">
        <v>41</v>
      </c>
    </row>
    <row r="46" spans="1:6">
      <c r="A46" s="5" t="s">
        <v>120</v>
      </c>
      <c r="B46" s="9">
        <v>-895</v>
      </c>
      <c r="C46" s="9">
        <v>-1065</v>
      </c>
      <c r="D46" s="9">
        <v>-940</v>
      </c>
      <c r="E46" s="9">
        <v>-540</v>
      </c>
      <c r="F46" s="9">
        <v>-1630</v>
      </c>
    </row>
    <row r="47" spans="1:6">
      <c r="A47" s="8" t="s">
        <v>121</v>
      </c>
      <c r="B47" s="10">
        <v>-895</v>
      </c>
      <c r="C47" s="10">
        <v>-1065</v>
      </c>
      <c r="D47" s="10">
        <v>-940</v>
      </c>
      <c r="E47" s="10">
        <v>-540</v>
      </c>
      <c r="F47" s="10">
        <v>-1630</v>
      </c>
    </row>
    <row r="48" spans="1:6">
      <c r="A48" s="5"/>
      <c r="B48" s="5"/>
      <c r="C48" s="5"/>
      <c r="D48" s="5"/>
      <c r="E48" s="5"/>
      <c r="F48" s="5"/>
    </row>
    <row r="49" spans="1:6">
      <c r="A49" s="5" t="s">
        <v>122</v>
      </c>
      <c r="B49" s="9">
        <v>13.4</v>
      </c>
      <c r="C49" s="9">
        <v>58.5</v>
      </c>
      <c r="D49" s="9">
        <v>41</v>
      </c>
      <c r="E49" s="9">
        <v>31.6</v>
      </c>
      <c r="F49" s="9">
        <v>9.1999999999999993</v>
      </c>
    </row>
    <row r="50" spans="1:6" ht="12">
      <c r="A50" s="5" t="s">
        <v>123</v>
      </c>
      <c r="B50" s="9">
        <v>-103</v>
      </c>
      <c r="C50" s="9" t="s">
        <v>41</v>
      </c>
      <c r="D50" s="9">
        <v>-52</v>
      </c>
      <c r="E50" s="9" t="s">
        <v>41</v>
      </c>
      <c r="F50" s="9">
        <v>-237.8</v>
      </c>
    </row>
    <row r="51" spans="1:6">
      <c r="A51" s="5"/>
      <c r="B51" s="5"/>
      <c r="C51" s="5"/>
      <c r="D51" s="5"/>
      <c r="E51" s="5"/>
      <c r="F51" s="5"/>
    </row>
    <row r="52" spans="1:6">
      <c r="A52" s="5" t="s">
        <v>124</v>
      </c>
      <c r="B52" s="9">
        <v>-441.9</v>
      </c>
      <c r="C52" s="9">
        <v>-498.6</v>
      </c>
      <c r="D52" s="9">
        <v>-573.9</v>
      </c>
      <c r="E52" s="9">
        <v>-643.70000000000005</v>
      </c>
      <c r="F52" s="9">
        <v>-711.3</v>
      </c>
    </row>
    <row r="53" spans="1:6">
      <c r="A53" s="8" t="s">
        <v>125</v>
      </c>
      <c r="B53" s="10">
        <v>-441.9</v>
      </c>
      <c r="C53" s="10">
        <v>-498.6</v>
      </c>
      <c r="D53" s="10">
        <v>-573.9</v>
      </c>
      <c r="E53" s="10">
        <v>-643.70000000000005</v>
      </c>
      <c r="F53" s="10">
        <v>-711.3</v>
      </c>
    </row>
    <row r="54" spans="1:6">
      <c r="A54" s="5"/>
      <c r="B54" s="5"/>
      <c r="C54" s="5"/>
      <c r="D54" s="5"/>
      <c r="E54" s="5"/>
      <c r="F54" s="5"/>
    </row>
    <row r="55" spans="1:6" ht="12">
      <c r="A55" s="5" t="s">
        <v>126</v>
      </c>
      <c r="B55" s="9" t="s">
        <v>41</v>
      </c>
      <c r="C55" s="9" t="s">
        <v>41</v>
      </c>
      <c r="D55" s="9">
        <v>-229.5</v>
      </c>
      <c r="E55" s="9" t="s">
        <v>41</v>
      </c>
      <c r="F55" s="9" t="s">
        <v>41</v>
      </c>
    </row>
    <row r="56" spans="1:6" ht="12">
      <c r="A56" s="5" t="s">
        <v>127</v>
      </c>
      <c r="B56" s="9" t="s">
        <v>41</v>
      </c>
      <c r="C56" s="9" t="s">
        <v>41</v>
      </c>
      <c r="D56" s="9" t="s">
        <v>41</v>
      </c>
      <c r="E56" s="9" t="s">
        <v>41</v>
      </c>
      <c r="F56" s="9" t="s">
        <v>41</v>
      </c>
    </row>
    <row r="57" spans="1:6">
      <c r="A57" s="8" t="s">
        <v>128</v>
      </c>
      <c r="B57" s="10">
        <v>-446.5</v>
      </c>
      <c r="C57" s="10">
        <v>-595.1</v>
      </c>
      <c r="D57" s="10">
        <v>-754.4</v>
      </c>
      <c r="E57" s="10">
        <v>-627.1</v>
      </c>
      <c r="F57" s="10">
        <v>-774.9</v>
      </c>
    </row>
    <row r="58" spans="1:6">
      <c r="A58" s="5"/>
      <c r="B58" s="5"/>
      <c r="C58" s="5"/>
      <c r="D58" s="5"/>
      <c r="E58" s="5"/>
      <c r="F58" s="5"/>
    </row>
    <row r="59" spans="1:6">
      <c r="A59" s="5" t="s">
        <v>129</v>
      </c>
      <c r="B59" s="9">
        <v>-3.5</v>
      </c>
      <c r="C59" s="9">
        <v>-0.2</v>
      </c>
      <c r="D59" s="9">
        <v>5.0999999999999996</v>
      </c>
      <c r="E59" s="9">
        <v>-4</v>
      </c>
      <c r="F59" s="9">
        <v>-9.1999999999999993</v>
      </c>
    </row>
    <row r="60" spans="1:6">
      <c r="A60" s="8" t="s">
        <v>130</v>
      </c>
      <c r="B60" s="11">
        <v>50.3</v>
      </c>
      <c r="C60" s="11">
        <v>7.7</v>
      </c>
      <c r="D60" s="11">
        <v>70.8</v>
      </c>
      <c r="E60" s="11">
        <v>-9.5</v>
      </c>
      <c r="F60" s="11">
        <v>-6.1</v>
      </c>
    </row>
    <row r="61" spans="1:6">
      <c r="A61" s="5"/>
      <c r="B61" s="5"/>
      <c r="C61" s="5"/>
      <c r="D61" s="5"/>
      <c r="E61" s="5"/>
      <c r="F61" s="5"/>
    </row>
    <row r="62" spans="1:6">
      <c r="A62" s="8" t="s">
        <v>57</v>
      </c>
      <c r="B62" s="5"/>
      <c r="C62" s="5"/>
      <c r="D62" s="5"/>
      <c r="E62" s="5"/>
      <c r="F62" s="5"/>
    </row>
    <row r="63" spans="1:6">
      <c r="A63" s="5" t="s">
        <v>131</v>
      </c>
      <c r="B63" s="9">
        <v>12.6</v>
      </c>
      <c r="C63" s="9">
        <v>13.9</v>
      </c>
      <c r="D63" s="9">
        <v>8.4</v>
      </c>
      <c r="E63" s="9">
        <v>9.9</v>
      </c>
      <c r="F63" s="9">
        <v>13.3</v>
      </c>
    </row>
    <row r="64" spans="1:6">
      <c r="A64" s="5" t="s">
        <v>132</v>
      </c>
      <c r="B64" s="9">
        <v>215.3</v>
      </c>
      <c r="C64" s="9">
        <v>242.7</v>
      </c>
      <c r="D64" s="9">
        <v>260.10000000000002</v>
      </c>
      <c r="E64" s="9">
        <v>294</v>
      </c>
      <c r="F64" s="9">
        <v>354.1</v>
      </c>
    </row>
    <row r="65" spans="1:6">
      <c r="A65" s="5" t="s">
        <v>133</v>
      </c>
      <c r="B65" s="9">
        <v>339.51249999999999</v>
      </c>
      <c r="C65" s="9">
        <v>436.66250000000002</v>
      </c>
      <c r="D65" s="9">
        <v>770.76250000000005</v>
      </c>
      <c r="E65" s="9">
        <v>460.3125</v>
      </c>
      <c r="F65" s="9">
        <v>599.96249999999998</v>
      </c>
    </row>
    <row r="66" spans="1:6">
      <c r="A66" s="5" t="s">
        <v>134</v>
      </c>
      <c r="B66" s="9">
        <v>347.38749999999999</v>
      </c>
      <c r="C66" s="9">
        <v>445.35</v>
      </c>
      <c r="D66" s="9">
        <v>776.82500000000005</v>
      </c>
      <c r="E66" s="9">
        <v>466.375</v>
      </c>
      <c r="F66" s="9">
        <v>608.9</v>
      </c>
    </row>
    <row r="67" spans="1:6">
      <c r="A67" s="5" t="s">
        <v>135</v>
      </c>
      <c r="B67" s="9">
        <v>243.8</v>
      </c>
      <c r="C67" s="9">
        <v>123.4</v>
      </c>
      <c r="D67" s="9">
        <v>-63.2</v>
      </c>
      <c r="E67" s="9">
        <v>314.2</v>
      </c>
      <c r="F67" s="9">
        <v>309.60000000000002</v>
      </c>
    </row>
    <row r="68" spans="1:6">
      <c r="A68" s="5" t="s">
        <v>136</v>
      </c>
      <c r="B68" s="9">
        <v>85</v>
      </c>
      <c r="C68" s="9">
        <v>-155</v>
      </c>
      <c r="D68" s="9">
        <v>60</v>
      </c>
      <c r="E68" s="9">
        <v>-15</v>
      </c>
      <c r="F68" s="9">
        <v>165</v>
      </c>
    </row>
    <row r="69" spans="1:6">
      <c r="A69" s="5" t="s">
        <v>76</v>
      </c>
      <c r="B69" s="17">
        <v>44235</v>
      </c>
      <c r="C69" s="17">
        <v>44599</v>
      </c>
      <c r="D69" s="17">
        <v>44964</v>
      </c>
      <c r="E69" s="17">
        <v>44964</v>
      </c>
      <c r="F69" s="17">
        <v>44964</v>
      </c>
    </row>
    <row r="70" spans="1:6" ht="12">
      <c r="A70" s="5" t="s">
        <v>77</v>
      </c>
      <c r="B70" s="15" t="s">
        <v>78</v>
      </c>
      <c r="C70" s="15" t="s">
        <v>78</v>
      </c>
      <c r="D70" s="15" t="s">
        <v>78</v>
      </c>
      <c r="E70" s="15" t="s">
        <v>78</v>
      </c>
      <c r="F70" s="15" t="s">
        <v>79</v>
      </c>
    </row>
    <row r="71" spans="1:6" ht="12">
      <c r="A71" s="5" t="s">
        <v>80</v>
      </c>
      <c r="B71" s="15" t="s">
        <v>82</v>
      </c>
      <c r="C71" s="15" t="s">
        <v>82</v>
      </c>
      <c r="D71" s="15" t="s">
        <v>82</v>
      </c>
      <c r="E71" s="15" t="s">
        <v>82</v>
      </c>
      <c r="F71" s="15" t="s">
        <v>82</v>
      </c>
    </row>
    <row r="72" spans="1:6">
      <c r="A72" s="5"/>
      <c r="B72" s="5"/>
      <c r="C72" s="5"/>
      <c r="D72" s="5"/>
      <c r="E72" s="5"/>
      <c r="F72" s="5"/>
    </row>
    <row r="73" spans="1:6" ht="72">
      <c r="A73" s="22" t="s">
        <v>84</v>
      </c>
      <c r="B73" s="18"/>
      <c r="C73" s="18"/>
      <c r="D73" s="18"/>
      <c r="E73" s="18"/>
      <c r="F73" s="18"/>
    </row>
  </sheetData>
  <phoneticPr fontId="2"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D04D-A277-4042-BF61-C26083E02666}">
  <dimension ref="A5:IU106"/>
  <sheetViews>
    <sheetView topLeftCell="A17" zoomScale="123" workbookViewId="0">
      <selection activeCell="B31" sqref="B31"/>
    </sheetView>
  </sheetViews>
  <sheetFormatPr baseColWidth="10" defaultColWidth="8.83203125" defaultRowHeight="11"/>
  <cols>
    <col min="1" max="1" width="45.83203125" style="1" customWidth="1"/>
    <col min="2" max="6" width="14.83203125" style="1" customWidth="1"/>
    <col min="7" max="256" width="8.83203125" style="1"/>
    <col min="257" max="257" width="45.83203125" style="1" customWidth="1"/>
    <col min="258" max="262" width="14.83203125" style="1" customWidth="1"/>
    <col min="263" max="512" width="8.83203125" style="1"/>
    <col min="513" max="513" width="45.83203125" style="1" customWidth="1"/>
    <col min="514" max="518" width="14.83203125" style="1" customWidth="1"/>
    <col min="519" max="768" width="8.83203125" style="1"/>
    <col min="769" max="769" width="45.83203125" style="1" customWidth="1"/>
    <col min="770" max="774" width="14.83203125" style="1" customWidth="1"/>
    <col min="775" max="1024" width="8.83203125" style="1"/>
    <col min="1025" max="1025" width="45.83203125" style="1" customWidth="1"/>
    <col min="1026" max="1030" width="14.83203125" style="1" customWidth="1"/>
    <col min="1031" max="1280" width="8.83203125" style="1"/>
    <col min="1281" max="1281" width="45.83203125" style="1" customWidth="1"/>
    <col min="1282" max="1286" width="14.83203125" style="1" customWidth="1"/>
    <col min="1287" max="1536" width="8.83203125" style="1"/>
    <col min="1537" max="1537" width="45.83203125" style="1" customWidth="1"/>
    <col min="1538" max="1542" width="14.83203125" style="1" customWidth="1"/>
    <col min="1543" max="1792" width="8.83203125" style="1"/>
    <col min="1793" max="1793" width="45.83203125" style="1" customWidth="1"/>
    <col min="1794" max="1798" width="14.83203125" style="1" customWidth="1"/>
    <col min="1799" max="2048" width="8.83203125" style="1"/>
    <col min="2049" max="2049" width="45.83203125" style="1" customWidth="1"/>
    <col min="2050" max="2054" width="14.83203125" style="1" customWidth="1"/>
    <col min="2055" max="2304" width="8.83203125" style="1"/>
    <col min="2305" max="2305" width="45.83203125" style="1" customWidth="1"/>
    <col min="2306" max="2310" width="14.83203125" style="1" customWidth="1"/>
    <col min="2311" max="2560" width="8.83203125" style="1"/>
    <col min="2561" max="2561" width="45.83203125" style="1" customWidth="1"/>
    <col min="2562" max="2566" width="14.83203125" style="1" customWidth="1"/>
    <col min="2567" max="2816" width="8.83203125" style="1"/>
    <col min="2817" max="2817" width="45.83203125" style="1" customWidth="1"/>
    <col min="2818" max="2822" width="14.83203125" style="1" customWidth="1"/>
    <col min="2823" max="3072" width="8.83203125" style="1"/>
    <col min="3073" max="3073" width="45.83203125" style="1" customWidth="1"/>
    <col min="3074" max="3078" width="14.83203125" style="1" customWidth="1"/>
    <col min="3079" max="3328" width="8.83203125" style="1"/>
    <col min="3329" max="3329" width="45.83203125" style="1" customWidth="1"/>
    <col min="3330" max="3334" width="14.83203125" style="1" customWidth="1"/>
    <col min="3335" max="3584" width="8.83203125" style="1"/>
    <col min="3585" max="3585" width="45.83203125" style="1" customWidth="1"/>
    <col min="3586" max="3590" width="14.83203125" style="1" customWidth="1"/>
    <col min="3591" max="3840" width="8.83203125" style="1"/>
    <col min="3841" max="3841" width="45.83203125" style="1" customWidth="1"/>
    <col min="3842" max="3846" width="14.83203125" style="1" customWidth="1"/>
    <col min="3847" max="4096" width="8.83203125" style="1"/>
    <col min="4097" max="4097" width="45.83203125" style="1" customWidth="1"/>
    <col min="4098" max="4102" width="14.83203125" style="1" customWidth="1"/>
    <col min="4103" max="4352" width="8.83203125" style="1"/>
    <col min="4353" max="4353" width="45.83203125" style="1" customWidth="1"/>
    <col min="4354" max="4358" width="14.83203125" style="1" customWidth="1"/>
    <col min="4359" max="4608" width="8.83203125" style="1"/>
    <col min="4609" max="4609" width="45.83203125" style="1" customWidth="1"/>
    <col min="4610" max="4614" width="14.83203125" style="1" customWidth="1"/>
    <col min="4615" max="4864" width="8.83203125" style="1"/>
    <col min="4865" max="4865" width="45.83203125" style="1" customWidth="1"/>
    <col min="4866" max="4870" width="14.83203125" style="1" customWidth="1"/>
    <col min="4871" max="5120" width="8.83203125" style="1"/>
    <col min="5121" max="5121" width="45.83203125" style="1" customWidth="1"/>
    <col min="5122" max="5126" width="14.83203125" style="1" customWidth="1"/>
    <col min="5127" max="5376" width="8.83203125" style="1"/>
    <col min="5377" max="5377" width="45.83203125" style="1" customWidth="1"/>
    <col min="5378" max="5382" width="14.83203125" style="1" customWidth="1"/>
    <col min="5383" max="5632" width="8.83203125" style="1"/>
    <col min="5633" max="5633" width="45.83203125" style="1" customWidth="1"/>
    <col min="5634" max="5638" width="14.83203125" style="1" customWidth="1"/>
    <col min="5639" max="5888" width="8.83203125" style="1"/>
    <col min="5889" max="5889" width="45.83203125" style="1" customWidth="1"/>
    <col min="5890" max="5894" width="14.83203125" style="1" customWidth="1"/>
    <col min="5895" max="6144" width="8.83203125" style="1"/>
    <col min="6145" max="6145" width="45.83203125" style="1" customWidth="1"/>
    <col min="6146" max="6150" width="14.83203125" style="1" customWidth="1"/>
    <col min="6151" max="6400" width="8.83203125" style="1"/>
    <col min="6401" max="6401" width="45.83203125" style="1" customWidth="1"/>
    <col min="6402" max="6406" width="14.83203125" style="1" customWidth="1"/>
    <col min="6407" max="6656" width="8.83203125" style="1"/>
    <col min="6657" max="6657" width="45.83203125" style="1" customWidth="1"/>
    <col min="6658" max="6662" width="14.83203125" style="1" customWidth="1"/>
    <col min="6663" max="6912" width="8.83203125" style="1"/>
    <col min="6913" max="6913" width="45.83203125" style="1" customWidth="1"/>
    <col min="6914" max="6918" width="14.83203125" style="1" customWidth="1"/>
    <col min="6919" max="7168" width="8.83203125" style="1"/>
    <col min="7169" max="7169" width="45.83203125" style="1" customWidth="1"/>
    <col min="7170" max="7174" width="14.83203125" style="1" customWidth="1"/>
    <col min="7175" max="7424" width="8.83203125" style="1"/>
    <col min="7425" max="7425" width="45.83203125" style="1" customWidth="1"/>
    <col min="7426" max="7430" width="14.83203125" style="1" customWidth="1"/>
    <col min="7431" max="7680" width="8.83203125" style="1"/>
    <col min="7681" max="7681" width="45.83203125" style="1" customWidth="1"/>
    <col min="7682" max="7686" width="14.83203125" style="1" customWidth="1"/>
    <col min="7687" max="7936" width="8.83203125" style="1"/>
    <col min="7937" max="7937" width="45.83203125" style="1" customWidth="1"/>
    <col min="7938" max="7942" width="14.83203125" style="1" customWidth="1"/>
    <col min="7943" max="8192" width="8.83203125" style="1"/>
    <col min="8193" max="8193" width="45.83203125" style="1" customWidth="1"/>
    <col min="8194" max="8198" width="14.83203125" style="1" customWidth="1"/>
    <col min="8199" max="8448" width="8.83203125" style="1"/>
    <col min="8449" max="8449" width="45.83203125" style="1" customWidth="1"/>
    <col min="8450" max="8454" width="14.83203125" style="1" customWidth="1"/>
    <col min="8455" max="8704" width="8.83203125" style="1"/>
    <col min="8705" max="8705" width="45.83203125" style="1" customWidth="1"/>
    <col min="8706" max="8710" width="14.83203125" style="1" customWidth="1"/>
    <col min="8711" max="8960" width="8.83203125" style="1"/>
    <col min="8961" max="8961" width="45.83203125" style="1" customWidth="1"/>
    <col min="8962" max="8966" width="14.83203125" style="1" customWidth="1"/>
    <col min="8967" max="9216" width="8.83203125" style="1"/>
    <col min="9217" max="9217" width="45.83203125" style="1" customWidth="1"/>
    <col min="9218" max="9222" width="14.83203125" style="1" customWidth="1"/>
    <col min="9223" max="9472" width="8.83203125" style="1"/>
    <col min="9473" max="9473" width="45.83203125" style="1" customWidth="1"/>
    <col min="9474" max="9478" width="14.83203125" style="1" customWidth="1"/>
    <col min="9479" max="9728" width="8.83203125" style="1"/>
    <col min="9729" max="9729" width="45.83203125" style="1" customWidth="1"/>
    <col min="9730" max="9734" width="14.83203125" style="1" customWidth="1"/>
    <col min="9735" max="9984" width="8.83203125" style="1"/>
    <col min="9985" max="9985" width="45.83203125" style="1" customWidth="1"/>
    <col min="9986" max="9990" width="14.83203125" style="1" customWidth="1"/>
    <col min="9991" max="10240" width="8.83203125" style="1"/>
    <col min="10241" max="10241" width="45.83203125" style="1" customWidth="1"/>
    <col min="10242" max="10246" width="14.83203125" style="1" customWidth="1"/>
    <col min="10247" max="10496" width="8.83203125" style="1"/>
    <col min="10497" max="10497" width="45.83203125" style="1" customWidth="1"/>
    <col min="10498" max="10502" width="14.83203125" style="1" customWidth="1"/>
    <col min="10503" max="10752" width="8.83203125" style="1"/>
    <col min="10753" max="10753" width="45.83203125" style="1" customWidth="1"/>
    <col min="10754" max="10758" width="14.83203125" style="1" customWidth="1"/>
    <col min="10759" max="11008" width="8.83203125" style="1"/>
    <col min="11009" max="11009" width="45.83203125" style="1" customWidth="1"/>
    <col min="11010" max="11014" width="14.83203125" style="1" customWidth="1"/>
    <col min="11015" max="11264" width="8.83203125" style="1"/>
    <col min="11265" max="11265" width="45.83203125" style="1" customWidth="1"/>
    <col min="11266" max="11270" width="14.83203125" style="1" customWidth="1"/>
    <col min="11271" max="11520" width="8.83203125" style="1"/>
    <col min="11521" max="11521" width="45.83203125" style="1" customWidth="1"/>
    <col min="11522" max="11526" width="14.83203125" style="1" customWidth="1"/>
    <col min="11527" max="11776" width="8.83203125" style="1"/>
    <col min="11777" max="11777" width="45.83203125" style="1" customWidth="1"/>
    <col min="11778" max="11782" width="14.83203125" style="1" customWidth="1"/>
    <col min="11783" max="12032" width="8.83203125" style="1"/>
    <col min="12033" max="12033" width="45.83203125" style="1" customWidth="1"/>
    <col min="12034" max="12038" width="14.83203125" style="1" customWidth="1"/>
    <col min="12039" max="12288" width="8.83203125" style="1"/>
    <col min="12289" max="12289" width="45.83203125" style="1" customWidth="1"/>
    <col min="12290" max="12294" width="14.83203125" style="1" customWidth="1"/>
    <col min="12295" max="12544" width="8.83203125" style="1"/>
    <col min="12545" max="12545" width="45.83203125" style="1" customWidth="1"/>
    <col min="12546" max="12550" width="14.83203125" style="1" customWidth="1"/>
    <col min="12551" max="12800" width="8.83203125" style="1"/>
    <col min="12801" max="12801" width="45.83203125" style="1" customWidth="1"/>
    <col min="12802" max="12806" width="14.83203125" style="1" customWidth="1"/>
    <col min="12807" max="13056" width="8.83203125" style="1"/>
    <col min="13057" max="13057" width="45.83203125" style="1" customWidth="1"/>
    <col min="13058" max="13062" width="14.83203125" style="1" customWidth="1"/>
    <col min="13063" max="13312" width="8.83203125" style="1"/>
    <col min="13313" max="13313" width="45.83203125" style="1" customWidth="1"/>
    <col min="13314" max="13318" width="14.83203125" style="1" customWidth="1"/>
    <col min="13319" max="13568" width="8.83203125" style="1"/>
    <col min="13569" max="13569" width="45.83203125" style="1" customWidth="1"/>
    <col min="13570" max="13574" width="14.83203125" style="1" customWidth="1"/>
    <col min="13575" max="13824" width="8.83203125" style="1"/>
    <col min="13825" max="13825" width="45.83203125" style="1" customWidth="1"/>
    <col min="13826" max="13830" width="14.83203125" style="1" customWidth="1"/>
    <col min="13831" max="14080" width="8.83203125" style="1"/>
    <col min="14081" max="14081" width="45.83203125" style="1" customWidth="1"/>
    <col min="14082" max="14086" width="14.83203125" style="1" customWidth="1"/>
    <col min="14087" max="14336" width="8.83203125" style="1"/>
    <col min="14337" max="14337" width="45.83203125" style="1" customWidth="1"/>
    <col min="14338" max="14342" width="14.83203125" style="1" customWidth="1"/>
    <col min="14343" max="14592" width="8.83203125" style="1"/>
    <col min="14593" max="14593" width="45.83203125" style="1" customWidth="1"/>
    <col min="14594" max="14598" width="14.83203125" style="1" customWidth="1"/>
    <col min="14599" max="14848" width="8.83203125" style="1"/>
    <col min="14849" max="14849" width="45.83203125" style="1" customWidth="1"/>
    <col min="14850" max="14854" width="14.83203125" style="1" customWidth="1"/>
    <col min="14855" max="15104" width="8.83203125" style="1"/>
    <col min="15105" max="15105" width="45.83203125" style="1" customWidth="1"/>
    <col min="15106" max="15110" width="14.83203125" style="1" customWidth="1"/>
    <col min="15111" max="15360" width="8.83203125" style="1"/>
    <col min="15361" max="15361" width="45.83203125" style="1" customWidth="1"/>
    <col min="15362" max="15366" width="14.83203125" style="1" customWidth="1"/>
    <col min="15367" max="15616" width="8.83203125" style="1"/>
    <col min="15617" max="15617" width="45.83203125" style="1" customWidth="1"/>
    <col min="15618" max="15622" width="14.83203125" style="1" customWidth="1"/>
    <col min="15623" max="15872" width="8.83203125" style="1"/>
    <col min="15873" max="15873" width="45.83203125" style="1" customWidth="1"/>
    <col min="15874" max="15878" width="14.83203125" style="1" customWidth="1"/>
    <col min="15879" max="16128" width="8.83203125" style="1"/>
    <col min="16129" max="16129" width="45.83203125" style="1" customWidth="1"/>
    <col min="16130" max="16134" width="14.83203125" style="1" customWidth="1"/>
    <col min="16135" max="16384" width="8.83203125" style="1"/>
  </cols>
  <sheetData>
    <row r="5" spans="1:255" ht="17">
      <c r="A5" s="2" t="s">
        <v>137</v>
      </c>
    </row>
    <row r="7" spans="1:255" ht="12">
      <c r="A7" s="3" t="s">
        <v>1</v>
      </c>
      <c r="B7" s="4" t="s">
        <v>2</v>
      </c>
      <c r="C7" s="1" t="s">
        <v>3</v>
      </c>
      <c r="D7" s="5" t="s">
        <v>4</v>
      </c>
      <c r="E7" s="4" t="s">
        <v>5</v>
      </c>
      <c r="F7" s="1" t="s">
        <v>6</v>
      </c>
    </row>
    <row r="8" spans="1:255">
      <c r="A8" s="5"/>
      <c r="B8" s="4" t="s">
        <v>7</v>
      </c>
      <c r="C8" s="1" t="s">
        <v>8</v>
      </c>
      <c r="D8" s="5" t="s">
        <v>4</v>
      </c>
      <c r="E8" s="4" t="s">
        <v>9</v>
      </c>
      <c r="F8" s="1" t="s">
        <v>10</v>
      </c>
    </row>
    <row r="9" spans="1:255">
      <c r="A9" s="5"/>
      <c r="B9" s="4" t="s">
        <v>11</v>
      </c>
      <c r="C9" s="1" t="s">
        <v>12</v>
      </c>
      <c r="D9" s="5" t="s">
        <v>4</v>
      </c>
      <c r="E9" s="4" t="s">
        <v>13</v>
      </c>
      <c r="F9" s="1" t="s">
        <v>14</v>
      </c>
    </row>
    <row r="10" spans="1:255">
      <c r="A10" s="5"/>
      <c r="B10" s="4" t="s">
        <v>15</v>
      </c>
      <c r="C10" s="1" t="s">
        <v>16</v>
      </c>
      <c r="D10" s="5" t="s">
        <v>4</v>
      </c>
      <c r="E10" s="4" t="s">
        <v>17</v>
      </c>
      <c r="F10" s="6" t="s">
        <v>18</v>
      </c>
    </row>
    <row r="13" spans="1:255">
      <c r="A13" s="7" t="s">
        <v>138</v>
      </c>
      <c r="B13" s="7"/>
      <c r="C13" s="7"/>
      <c r="D13" s="7"/>
      <c r="E13" s="7"/>
      <c r="F13" s="7"/>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s="28" customFormat="1" ht="36">
      <c r="A14" s="26" t="s">
        <v>87</v>
      </c>
      <c r="B14" s="27" t="s">
        <v>88</v>
      </c>
      <c r="C14" s="27" t="s">
        <v>139</v>
      </c>
      <c r="D14" s="27" t="s">
        <v>140</v>
      </c>
      <c r="E14" s="27" t="s">
        <v>91</v>
      </c>
      <c r="F14" s="27" t="s">
        <v>92</v>
      </c>
    </row>
    <row r="15" spans="1:255" s="28" customFormat="1" ht="12">
      <c r="A15" s="29" t="s">
        <v>21</v>
      </c>
      <c r="B15" s="30" t="s">
        <v>22</v>
      </c>
      <c r="C15" s="30" t="s">
        <v>22</v>
      </c>
      <c r="D15" s="30" t="s">
        <v>22</v>
      </c>
      <c r="E15" s="30" t="s">
        <v>22</v>
      </c>
      <c r="F15" s="30" t="s">
        <v>22</v>
      </c>
    </row>
    <row r="16" spans="1:255">
      <c r="A16" s="8" t="s">
        <v>93</v>
      </c>
      <c r="B16" s="5"/>
      <c r="C16" s="5"/>
      <c r="D16" s="5"/>
      <c r="E16" s="5"/>
      <c r="F16" s="5"/>
    </row>
    <row r="17" spans="1:6">
      <c r="A17" s="5" t="s">
        <v>141</v>
      </c>
      <c r="B17" s="9">
        <v>4965.1000000000004</v>
      </c>
      <c r="C17" s="9">
        <v>5333.7</v>
      </c>
      <c r="D17" s="9">
        <v>5647.3</v>
      </c>
      <c r="E17" s="9">
        <v>6010.9</v>
      </c>
      <c r="F17" s="9">
        <v>6980.6</v>
      </c>
    </row>
    <row r="18" spans="1:6" ht="12">
      <c r="A18" s="5" t="s">
        <v>142</v>
      </c>
      <c r="B18" s="9" t="s">
        <v>41</v>
      </c>
      <c r="C18" s="9" t="s">
        <v>41</v>
      </c>
      <c r="D18" s="9" t="s">
        <v>41</v>
      </c>
      <c r="E18" s="9" t="s">
        <v>41</v>
      </c>
      <c r="F18" s="9" t="s">
        <v>41</v>
      </c>
    </row>
    <row r="19" spans="1:6">
      <c r="A19" s="8" t="s">
        <v>143</v>
      </c>
      <c r="B19" s="10">
        <v>4965.1000000000004</v>
      </c>
      <c r="C19" s="10">
        <v>5333.7</v>
      </c>
      <c r="D19" s="10">
        <v>5647.3</v>
      </c>
      <c r="E19" s="10">
        <v>6010.9</v>
      </c>
      <c r="F19" s="10">
        <v>6980.6</v>
      </c>
    </row>
    <row r="20" spans="1:6">
      <c r="A20" s="5"/>
      <c r="B20" s="5"/>
      <c r="C20" s="5"/>
      <c r="D20" s="5"/>
      <c r="E20" s="5"/>
      <c r="F20" s="5"/>
    </row>
    <row r="21" spans="1:6">
      <c r="A21" s="5" t="s">
        <v>144</v>
      </c>
      <c r="B21" s="9">
        <v>2566.1999999999998</v>
      </c>
      <c r="C21" s="9">
        <v>2818.3</v>
      </c>
      <c r="D21" s="9">
        <v>3079.5</v>
      </c>
      <c r="E21" s="9">
        <v>3233.7</v>
      </c>
      <c r="F21" s="9">
        <v>3764.8</v>
      </c>
    </row>
    <row r="22" spans="1:6">
      <c r="A22" s="8" t="s">
        <v>145</v>
      </c>
      <c r="B22" s="10">
        <v>2398.9</v>
      </c>
      <c r="C22" s="10">
        <v>2515.4</v>
      </c>
      <c r="D22" s="10">
        <v>2567.8000000000002</v>
      </c>
      <c r="E22" s="10">
        <v>2777.2</v>
      </c>
      <c r="F22" s="10">
        <v>3215.8</v>
      </c>
    </row>
    <row r="23" spans="1:6">
      <c r="A23" s="5"/>
      <c r="B23" s="5"/>
      <c r="C23" s="5"/>
      <c r="D23" s="5"/>
      <c r="E23" s="5"/>
      <c r="F23" s="5"/>
    </row>
    <row r="24" spans="1:6">
      <c r="A24" s="5" t="s">
        <v>146</v>
      </c>
      <c r="B24" s="9">
        <v>1400.2</v>
      </c>
      <c r="C24" s="9">
        <v>1458.2</v>
      </c>
      <c r="D24" s="9">
        <v>1426</v>
      </c>
      <c r="E24" s="9">
        <v>1559.8</v>
      </c>
      <c r="F24" s="9">
        <v>1762.2</v>
      </c>
    </row>
    <row r="25" spans="1:6" ht="12">
      <c r="A25" s="5" t="s">
        <v>147</v>
      </c>
      <c r="B25" s="9" t="s">
        <v>41</v>
      </c>
      <c r="C25" s="9" t="s">
        <v>41</v>
      </c>
      <c r="D25" s="9" t="s">
        <v>41</v>
      </c>
      <c r="E25" s="9" t="s">
        <v>41</v>
      </c>
      <c r="F25" s="9" t="s">
        <v>41</v>
      </c>
    </row>
    <row r="26" spans="1:6" ht="12">
      <c r="A26" s="5" t="s">
        <v>95</v>
      </c>
      <c r="B26" s="9" t="s">
        <v>41</v>
      </c>
      <c r="C26" s="9" t="s">
        <v>41</v>
      </c>
      <c r="D26" s="9" t="s">
        <v>41</v>
      </c>
      <c r="E26" s="9" t="s">
        <v>41</v>
      </c>
      <c r="F26" s="9" t="s">
        <v>41</v>
      </c>
    </row>
    <row r="27" spans="1:6" ht="12">
      <c r="A27" s="5" t="s">
        <v>148</v>
      </c>
      <c r="B27" s="9" t="s">
        <v>41</v>
      </c>
      <c r="C27" s="9" t="s">
        <v>41</v>
      </c>
      <c r="D27" s="9" t="s">
        <v>41</v>
      </c>
      <c r="E27" s="9" t="s">
        <v>41</v>
      </c>
      <c r="F27" s="9" t="s">
        <v>41</v>
      </c>
    </row>
    <row r="28" spans="1:6">
      <c r="A28" s="5"/>
      <c r="B28" s="5"/>
      <c r="C28" s="5"/>
      <c r="D28" s="5"/>
      <c r="E28" s="5"/>
      <c r="F28" s="5"/>
    </row>
    <row r="29" spans="1:6">
      <c r="A29" s="8" t="s">
        <v>149</v>
      </c>
      <c r="B29" s="10">
        <v>1400.2</v>
      </c>
      <c r="C29" s="10">
        <v>1458.2</v>
      </c>
      <c r="D29" s="10">
        <v>1426</v>
      </c>
      <c r="E29" s="10">
        <v>1559.8</v>
      </c>
      <c r="F29" s="10">
        <v>1762.2</v>
      </c>
    </row>
    <row r="30" spans="1:6">
      <c r="A30" s="5"/>
      <c r="B30" s="5"/>
      <c r="C30" s="5"/>
      <c r="D30" s="5"/>
      <c r="E30" s="5"/>
      <c r="F30" s="5"/>
    </row>
    <row r="31" spans="1:6">
      <c r="A31" s="8" t="s">
        <v>150</v>
      </c>
      <c r="B31" s="21">
        <v>998.7</v>
      </c>
      <c r="C31" s="21">
        <v>1057.2</v>
      </c>
      <c r="D31" s="21">
        <v>1141.8</v>
      </c>
      <c r="E31" s="21">
        <v>1217.4000000000001</v>
      </c>
      <c r="F31" s="21">
        <v>1453.6</v>
      </c>
    </row>
    <row r="32" spans="1:6">
      <c r="A32" s="5"/>
      <c r="B32" s="5"/>
      <c r="C32" s="5"/>
      <c r="D32" s="5"/>
      <c r="E32" s="5"/>
      <c r="F32" s="5"/>
    </row>
    <row r="33" spans="1:6">
      <c r="A33" s="5" t="s">
        <v>151</v>
      </c>
      <c r="B33" s="9">
        <v>-12.6</v>
      </c>
      <c r="C33" s="9">
        <v>-13.9</v>
      </c>
      <c r="D33" s="9">
        <v>-9.6999999999999993</v>
      </c>
      <c r="E33" s="9">
        <v>-9.6999999999999993</v>
      </c>
      <c r="F33" s="9">
        <v>-14.3</v>
      </c>
    </row>
    <row r="34" spans="1:6">
      <c r="A34" s="5" t="s">
        <v>152</v>
      </c>
      <c r="B34" s="9">
        <v>0.4</v>
      </c>
      <c r="C34" s="9">
        <v>0.4</v>
      </c>
      <c r="D34" s="9">
        <v>0.6</v>
      </c>
      <c r="E34" s="9">
        <v>0.1</v>
      </c>
      <c r="F34" s="9">
        <v>0.7</v>
      </c>
    </row>
    <row r="35" spans="1:6">
      <c r="A35" s="8" t="s">
        <v>153</v>
      </c>
      <c r="B35" s="10">
        <v>-12.2</v>
      </c>
      <c r="C35" s="10">
        <v>-13.5</v>
      </c>
      <c r="D35" s="10">
        <v>-9.1</v>
      </c>
      <c r="E35" s="10">
        <v>-9.6</v>
      </c>
      <c r="F35" s="10">
        <v>-13.6</v>
      </c>
    </row>
    <row r="36" spans="1:6">
      <c r="A36" s="5"/>
      <c r="B36" s="5"/>
      <c r="C36" s="5"/>
      <c r="D36" s="5"/>
      <c r="E36" s="5"/>
      <c r="F36" s="5"/>
    </row>
    <row r="37" spans="1:6" ht="12">
      <c r="A37" s="5" t="s">
        <v>154</v>
      </c>
      <c r="B37" s="9" t="s">
        <v>41</v>
      </c>
      <c r="C37" s="9" t="s">
        <v>41</v>
      </c>
      <c r="D37" s="9" t="s">
        <v>41</v>
      </c>
      <c r="E37" s="9" t="s">
        <v>41</v>
      </c>
      <c r="F37" s="9" t="s">
        <v>41</v>
      </c>
    </row>
    <row r="38" spans="1:6">
      <c r="A38" s="8" t="s">
        <v>155</v>
      </c>
      <c r="B38" s="10">
        <v>986.5</v>
      </c>
      <c r="C38" s="10">
        <v>1043.7</v>
      </c>
      <c r="D38" s="10">
        <v>1132.7</v>
      </c>
      <c r="E38" s="10">
        <v>1207.8</v>
      </c>
      <c r="F38" s="10">
        <v>1440</v>
      </c>
    </row>
    <row r="39" spans="1:6">
      <c r="A39" s="5"/>
      <c r="B39" s="5"/>
      <c r="C39" s="5"/>
      <c r="D39" s="5"/>
      <c r="E39" s="5"/>
      <c r="F39" s="5"/>
    </row>
    <row r="40" spans="1:6" ht="12">
      <c r="A40" s="5" t="s">
        <v>156</v>
      </c>
      <c r="B40" s="9" t="s">
        <v>41</v>
      </c>
      <c r="C40" s="9" t="s">
        <v>41</v>
      </c>
      <c r="D40" s="9" t="s">
        <v>41</v>
      </c>
      <c r="E40" s="9" t="s">
        <v>41</v>
      </c>
      <c r="F40" s="9" t="s">
        <v>41</v>
      </c>
    </row>
    <row r="41" spans="1:6" ht="12">
      <c r="A41" s="5" t="s">
        <v>157</v>
      </c>
      <c r="B41" s="9">
        <v>0.5</v>
      </c>
      <c r="C41" s="9" t="s">
        <v>41</v>
      </c>
      <c r="D41" s="9" t="s">
        <v>41</v>
      </c>
      <c r="E41" s="9" t="s">
        <v>41</v>
      </c>
      <c r="F41" s="9" t="s">
        <v>41</v>
      </c>
    </row>
    <row r="42" spans="1:6" ht="12">
      <c r="A42" s="5" t="s">
        <v>158</v>
      </c>
      <c r="B42" s="9" t="s">
        <v>41</v>
      </c>
      <c r="C42" s="9" t="s">
        <v>41</v>
      </c>
      <c r="D42" s="9" t="s">
        <v>41</v>
      </c>
      <c r="E42" s="9" t="s">
        <v>41</v>
      </c>
      <c r="F42" s="9" t="s">
        <v>41</v>
      </c>
    </row>
    <row r="43" spans="1:6">
      <c r="A43" s="8" t="s">
        <v>159</v>
      </c>
      <c r="B43" s="10">
        <v>987</v>
      </c>
      <c r="C43" s="10">
        <v>1043.7</v>
      </c>
      <c r="D43" s="10">
        <v>1132.7</v>
      </c>
      <c r="E43" s="10">
        <v>1207.8</v>
      </c>
      <c r="F43" s="10">
        <v>1440</v>
      </c>
    </row>
    <row r="44" spans="1:6">
      <c r="A44" s="5"/>
      <c r="B44" s="5"/>
      <c r="C44" s="5"/>
      <c r="D44" s="5"/>
      <c r="E44" s="5"/>
      <c r="F44" s="5"/>
    </row>
    <row r="45" spans="1:6">
      <c r="A45" s="5" t="s">
        <v>160</v>
      </c>
      <c r="B45" s="9">
        <v>235.1</v>
      </c>
      <c r="C45" s="9">
        <v>252.8</v>
      </c>
      <c r="D45" s="9">
        <v>273.60000000000002</v>
      </c>
      <c r="E45" s="9">
        <v>282.8</v>
      </c>
      <c r="F45" s="9">
        <v>353.1</v>
      </c>
    </row>
    <row r="46" spans="1:6">
      <c r="A46" s="8" t="s">
        <v>161</v>
      </c>
      <c r="B46" s="10">
        <v>751.9</v>
      </c>
      <c r="C46" s="10">
        <v>790.9</v>
      </c>
      <c r="D46" s="10">
        <v>859.1</v>
      </c>
      <c r="E46" s="10">
        <v>925</v>
      </c>
      <c r="F46" s="10">
        <v>1086.9000000000001</v>
      </c>
    </row>
    <row r="47" spans="1:6">
      <c r="A47" s="5"/>
      <c r="B47" s="5"/>
      <c r="C47" s="5"/>
      <c r="D47" s="5"/>
      <c r="E47" s="5"/>
      <c r="F47" s="5"/>
    </row>
    <row r="48" spans="1:6" ht="12">
      <c r="A48" s="5" t="s">
        <v>162</v>
      </c>
      <c r="B48" s="9" t="s">
        <v>41</v>
      </c>
      <c r="C48" s="9" t="s">
        <v>41</v>
      </c>
      <c r="D48" s="9" t="s">
        <v>41</v>
      </c>
      <c r="E48" s="9" t="s">
        <v>41</v>
      </c>
      <c r="F48" s="9" t="s">
        <v>41</v>
      </c>
    </row>
    <row r="49" spans="1:6" ht="12">
      <c r="A49" s="5" t="s">
        <v>163</v>
      </c>
      <c r="B49" s="9" t="s">
        <v>41</v>
      </c>
      <c r="C49" s="9" t="s">
        <v>41</v>
      </c>
      <c r="D49" s="9" t="s">
        <v>41</v>
      </c>
      <c r="E49" s="9" t="s">
        <v>41</v>
      </c>
      <c r="F49" s="9" t="s">
        <v>41</v>
      </c>
    </row>
    <row r="50" spans="1:6">
      <c r="A50" s="8" t="s">
        <v>164</v>
      </c>
      <c r="B50" s="10">
        <v>751.9</v>
      </c>
      <c r="C50" s="10">
        <v>790.9</v>
      </c>
      <c r="D50" s="10">
        <v>859.1</v>
      </c>
      <c r="E50" s="10">
        <v>925</v>
      </c>
      <c r="F50" s="10">
        <v>1086.9000000000001</v>
      </c>
    </row>
    <row r="51" spans="1:6">
      <c r="A51" s="5"/>
      <c r="B51" s="5"/>
      <c r="C51" s="5"/>
      <c r="D51" s="5"/>
      <c r="E51" s="5"/>
      <c r="F51" s="5"/>
    </row>
    <row r="52" spans="1:6">
      <c r="A52" s="5" t="s">
        <v>165</v>
      </c>
      <c r="B52" s="9">
        <v>0</v>
      </c>
      <c r="C52" s="9">
        <v>0</v>
      </c>
      <c r="D52" s="9">
        <v>0</v>
      </c>
      <c r="E52" s="9">
        <v>0</v>
      </c>
      <c r="F52" s="9">
        <v>0</v>
      </c>
    </row>
    <row r="53" spans="1:6">
      <c r="A53" s="8" t="s">
        <v>166</v>
      </c>
      <c r="B53" s="11">
        <v>751.9</v>
      </c>
      <c r="C53" s="11">
        <v>790.9</v>
      </c>
      <c r="D53" s="11">
        <v>859.1</v>
      </c>
      <c r="E53" s="11">
        <v>925</v>
      </c>
      <c r="F53" s="11">
        <v>1086.9000000000001</v>
      </c>
    </row>
    <row r="54" spans="1:6">
      <c r="A54" s="5"/>
      <c r="B54" s="5"/>
      <c r="C54" s="5"/>
      <c r="D54" s="5"/>
      <c r="E54" s="5"/>
      <c r="F54" s="5"/>
    </row>
    <row r="55" spans="1:6" ht="12">
      <c r="A55" s="5" t="s">
        <v>167</v>
      </c>
      <c r="B55" s="9" t="s">
        <v>41</v>
      </c>
      <c r="C55" s="9" t="s">
        <v>41</v>
      </c>
      <c r="D55" s="9" t="s">
        <v>41</v>
      </c>
      <c r="E55" s="9" t="s">
        <v>41</v>
      </c>
      <c r="F55" s="9" t="s">
        <v>41</v>
      </c>
    </row>
    <row r="56" spans="1:6">
      <c r="A56" s="5"/>
      <c r="B56" s="5"/>
      <c r="C56" s="5"/>
      <c r="D56" s="5"/>
      <c r="E56" s="5"/>
      <c r="F56" s="5"/>
    </row>
    <row r="57" spans="1:6">
      <c r="A57" s="8" t="s">
        <v>168</v>
      </c>
      <c r="B57" s="21">
        <v>751.9</v>
      </c>
      <c r="C57" s="21">
        <v>790.9</v>
      </c>
      <c r="D57" s="21">
        <v>859.1</v>
      </c>
      <c r="E57" s="21">
        <v>925</v>
      </c>
      <c r="F57" s="21">
        <v>1086.9000000000001</v>
      </c>
    </row>
    <row r="58" spans="1:6">
      <c r="A58" s="8" t="s">
        <v>169</v>
      </c>
      <c r="B58" s="21">
        <v>751.9</v>
      </c>
      <c r="C58" s="21">
        <v>790.9</v>
      </c>
      <c r="D58" s="21">
        <v>859.1</v>
      </c>
      <c r="E58" s="21">
        <v>925</v>
      </c>
      <c r="F58" s="21">
        <v>1086.9000000000001</v>
      </c>
    </row>
    <row r="59" spans="1:6">
      <c r="A59" s="5"/>
      <c r="B59" s="5"/>
      <c r="C59" s="5"/>
      <c r="D59" s="5"/>
      <c r="E59" s="5"/>
      <c r="F59" s="5"/>
    </row>
    <row r="60" spans="1:6">
      <c r="A60" s="8" t="s">
        <v>170</v>
      </c>
      <c r="B60" s="5"/>
      <c r="C60" s="5"/>
      <c r="D60" s="5"/>
      <c r="E60" s="5"/>
      <c r="F60" s="5"/>
    </row>
    <row r="61" spans="1:6">
      <c r="A61" s="5" t="s">
        <v>171</v>
      </c>
      <c r="B61" s="14">
        <v>1.31</v>
      </c>
      <c r="C61" s="14">
        <v>1.38</v>
      </c>
      <c r="D61" s="14">
        <v>1.5</v>
      </c>
      <c r="E61" s="14">
        <v>1.61</v>
      </c>
      <c r="F61" s="14">
        <v>1.89</v>
      </c>
    </row>
    <row r="62" spans="1:6">
      <c r="A62" s="5" t="s">
        <v>172</v>
      </c>
      <c r="B62" s="23">
        <v>1.3100810000000001</v>
      </c>
      <c r="C62" s="23">
        <v>1.3797919999999999</v>
      </c>
      <c r="D62" s="23">
        <v>1.497266</v>
      </c>
      <c r="E62" s="23">
        <v>1.609232</v>
      </c>
      <c r="F62" s="23">
        <v>1.8942870000000001</v>
      </c>
    </row>
    <row r="63" spans="1:6">
      <c r="A63" s="5" t="s">
        <v>173</v>
      </c>
      <c r="B63" s="9">
        <v>573.93383400000005</v>
      </c>
      <c r="C63" s="9">
        <v>573.20215199999996</v>
      </c>
      <c r="D63" s="9">
        <v>573.77876100000003</v>
      </c>
      <c r="E63" s="9">
        <v>574.80803000000003</v>
      </c>
      <c r="F63" s="9">
        <v>573.77778999999998</v>
      </c>
    </row>
    <row r="64" spans="1:6">
      <c r="A64" s="5"/>
      <c r="B64" s="5"/>
      <c r="C64" s="5"/>
      <c r="D64" s="5"/>
      <c r="E64" s="5"/>
      <c r="F64" s="5"/>
    </row>
    <row r="65" spans="1:6">
      <c r="A65" s="5" t="s">
        <v>174</v>
      </c>
      <c r="B65" s="14">
        <v>1.31</v>
      </c>
      <c r="C65" s="14">
        <v>1.38</v>
      </c>
      <c r="D65" s="14">
        <v>1.49</v>
      </c>
      <c r="E65" s="14">
        <v>1.6</v>
      </c>
      <c r="F65" s="14">
        <v>1.89</v>
      </c>
    </row>
    <row r="66" spans="1:6">
      <c r="A66" s="5" t="s">
        <v>175</v>
      </c>
      <c r="B66" s="23">
        <v>1.31</v>
      </c>
      <c r="C66" s="23">
        <v>1.3797919999999999</v>
      </c>
      <c r="D66" s="23">
        <v>1.4899990000000001</v>
      </c>
      <c r="E66" s="23">
        <v>1.6</v>
      </c>
      <c r="F66" s="23">
        <v>1.889999</v>
      </c>
    </row>
    <row r="67" spans="1:6">
      <c r="A67" s="5" t="s">
        <v>176</v>
      </c>
      <c r="B67" s="9">
        <v>574.32552799999996</v>
      </c>
      <c r="C67" s="9">
        <v>574.44162800000004</v>
      </c>
      <c r="D67" s="9">
        <v>575.67195400000003</v>
      </c>
      <c r="E67" s="9">
        <v>577.11705600000005</v>
      </c>
      <c r="F67" s="9">
        <v>575.62311399999999</v>
      </c>
    </row>
    <row r="68" spans="1:6">
      <c r="A68" s="5"/>
      <c r="B68" s="5"/>
      <c r="C68" s="5"/>
      <c r="D68" s="5"/>
      <c r="E68" s="5"/>
      <c r="F68" s="5"/>
    </row>
    <row r="69" spans="1:6">
      <c r="A69" s="5" t="s">
        <v>177</v>
      </c>
      <c r="B69" s="14">
        <v>1.07</v>
      </c>
      <c r="C69" s="14">
        <v>1.1399999999999999</v>
      </c>
      <c r="D69" s="14">
        <v>1.23</v>
      </c>
      <c r="E69" s="14">
        <v>1.31</v>
      </c>
      <c r="F69" s="14">
        <v>1.57</v>
      </c>
    </row>
    <row r="70" spans="1:6">
      <c r="A70" s="5" t="s">
        <v>178</v>
      </c>
      <c r="B70" s="23">
        <v>1.0735410000000001</v>
      </c>
      <c r="C70" s="23">
        <v>1.135559</v>
      </c>
      <c r="D70" s="23">
        <v>1.2297579999999999</v>
      </c>
      <c r="E70" s="23">
        <v>1.3080099999999999</v>
      </c>
      <c r="F70" s="23">
        <v>1.563523</v>
      </c>
    </row>
    <row r="71" spans="1:6">
      <c r="A71" s="5"/>
      <c r="B71" s="5"/>
      <c r="C71" s="5"/>
      <c r="D71" s="5"/>
      <c r="E71" s="5"/>
      <c r="F71" s="5"/>
    </row>
    <row r="72" spans="1:6">
      <c r="A72" s="5" t="s">
        <v>179</v>
      </c>
      <c r="B72" s="14">
        <v>0.77</v>
      </c>
      <c r="C72" s="14">
        <v>0.87</v>
      </c>
      <c r="D72" s="14">
        <v>1</v>
      </c>
      <c r="E72" s="14">
        <v>1.1200000000000001</v>
      </c>
      <c r="F72" s="14">
        <v>1.24</v>
      </c>
    </row>
    <row r="73" spans="1:6">
      <c r="A73" s="5" t="s">
        <v>180</v>
      </c>
      <c r="B73" s="24">
        <v>0.58771099999999998</v>
      </c>
      <c r="C73" s="24">
        <v>0.63042100000000001</v>
      </c>
      <c r="D73" s="24">
        <v>0.66797399999999996</v>
      </c>
      <c r="E73" s="24">
        <v>0.69589100000000004</v>
      </c>
      <c r="F73" s="24">
        <v>0.65442999999999996</v>
      </c>
    </row>
    <row r="74" spans="1:6">
      <c r="A74" s="5"/>
      <c r="B74" s="5"/>
      <c r="C74" s="5"/>
      <c r="D74" s="5"/>
      <c r="E74" s="5"/>
      <c r="F74" s="5"/>
    </row>
    <row r="75" spans="1:6">
      <c r="A75" s="5" t="s">
        <v>181</v>
      </c>
      <c r="B75" s="25">
        <v>1</v>
      </c>
      <c r="C75" s="25">
        <v>1</v>
      </c>
      <c r="D75" s="25">
        <v>1</v>
      </c>
      <c r="E75" s="25">
        <v>1</v>
      </c>
      <c r="F75" s="25">
        <v>1</v>
      </c>
    </row>
    <row r="76" spans="1:6">
      <c r="A76" s="5"/>
      <c r="B76" s="5"/>
      <c r="C76" s="5"/>
      <c r="D76" s="5"/>
      <c r="E76" s="5"/>
      <c r="F76" s="5"/>
    </row>
    <row r="77" spans="1:6">
      <c r="A77" s="8" t="s">
        <v>57</v>
      </c>
      <c r="B77" s="5"/>
      <c r="C77" s="5"/>
      <c r="D77" s="5"/>
      <c r="E77" s="5"/>
      <c r="F77" s="5"/>
    </row>
    <row r="78" spans="1:6">
      <c r="A78" s="5" t="s">
        <v>182</v>
      </c>
      <c r="B78" s="9">
        <v>1136.9000000000001</v>
      </c>
      <c r="C78" s="9">
        <v>1205.9000000000001</v>
      </c>
      <c r="D78" s="9">
        <v>1304.2</v>
      </c>
      <c r="E78" s="9">
        <v>1388.1</v>
      </c>
      <c r="F78" s="9">
        <v>1630.2</v>
      </c>
    </row>
    <row r="79" spans="1:6">
      <c r="A79" s="5" t="s">
        <v>183</v>
      </c>
      <c r="B79" s="9">
        <v>1002.8</v>
      </c>
      <c r="C79" s="9">
        <v>1061.3</v>
      </c>
      <c r="D79" s="9">
        <v>1150.9000000000001</v>
      </c>
      <c r="E79" s="9">
        <v>1228.2</v>
      </c>
      <c r="F79" s="9">
        <v>1464.3</v>
      </c>
    </row>
    <row r="80" spans="1:6">
      <c r="A80" s="5" t="s">
        <v>184</v>
      </c>
      <c r="B80" s="9">
        <v>998.7</v>
      </c>
      <c r="C80" s="9">
        <v>1057.2</v>
      </c>
      <c r="D80" s="9">
        <v>1141.8</v>
      </c>
      <c r="E80" s="9">
        <v>1217.4000000000001</v>
      </c>
      <c r="F80" s="9">
        <v>1453.6</v>
      </c>
    </row>
    <row r="81" spans="1:6" ht="12">
      <c r="A81" s="5" t="s">
        <v>185</v>
      </c>
      <c r="B81" s="9" t="s">
        <v>66</v>
      </c>
      <c r="C81" s="9">
        <v>1363.3</v>
      </c>
      <c r="D81" s="9">
        <v>1454.1</v>
      </c>
      <c r="E81" s="9">
        <v>1532.4</v>
      </c>
      <c r="F81" s="9">
        <v>1779.5</v>
      </c>
    </row>
    <row r="82" spans="1:6">
      <c r="A82" s="5" t="s">
        <v>186</v>
      </c>
      <c r="B82" s="24">
        <v>0.23819599999999999</v>
      </c>
      <c r="C82" s="24">
        <v>0.24221500000000001</v>
      </c>
      <c r="D82" s="24">
        <v>0.24154600000000001</v>
      </c>
      <c r="E82" s="24">
        <v>0.23414399999999999</v>
      </c>
      <c r="F82" s="24">
        <v>0.24520800000000001</v>
      </c>
    </row>
    <row r="83" spans="1:6">
      <c r="A83" s="5" t="s">
        <v>187</v>
      </c>
      <c r="B83" s="9">
        <v>182.6</v>
      </c>
      <c r="C83" s="9">
        <v>219</v>
      </c>
      <c r="D83" s="9">
        <v>242.9</v>
      </c>
      <c r="E83" s="9">
        <v>261</v>
      </c>
      <c r="F83" s="9">
        <v>325.60000000000002</v>
      </c>
    </row>
    <row r="84" spans="1:6">
      <c r="A84" s="5" t="s">
        <v>188</v>
      </c>
      <c r="B84" s="9">
        <v>24.1</v>
      </c>
      <c r="C84" s="9">
        <v>22.1</v>
      </c>
      <c r="D84" s="9">
        <v>28.1</v>
      </c>
      <c r="E84" s="9">
        <v>34.1</v>
      </c>
      <c r="F84" s="9">
        <v>35</v>
      </c>
    </row>
    <row r="85" spans="1:6">
      <c r="A85" s="5" t="s">
        <v>189</v>
      </c>
      <c r="B85" s="9">
        <v>206.7</v>
      </c>
      <c r="C85" s="9">
        <v>241.1</v>
      </c>
      <c r="D85" s="9">
        <v>271</v>
      </c>
      <c r="E85" s="9">
        <v>295.10000000000002</v>
      </c>
      <c r="F85" s="9">
        <v>360.6</v>
      </c>
    </row>
    <row r="86" spans="1:6">
      <c r="A86" s="5" t="s">
        <v>190</v>
      </c>
      <c r="B86" s="9">
        <v>27.6</v>
      </c>
      <c r="C86" s="9">
        <v>11.5</v>
      </c>
      <c r="D86" s="9">
        <v>1.3</v>
      </c>
      <c r="E86" s="9">
        <v>-13.1</v>
      </c>
      <c r="F86" s="9">
        <v>-6.1</v>
      </c>
    </row>
    <row r="87" spans="1:6">
      <c r="A87" s="5" t="s">
        <v>191</v>
      </c>
      <c r="B87" s="9">
        <v>0.8</v>
      </c>
      <c r="C87" s="9">
        <v>0.2</v>
      </c>
      <c r="D87" s="9">
        <v>1.3</v>
      </c>
      <c r="E87" s="9">
        <v>0.8</v>
      </c>
      <c r="F87" s="9">
        <v>-1.4</v>
      </c>
    </row>
    <row r="88" spans="1:6">
      <c r="A88" s="5" t="s">
        <v>192</v>
      </c>
      <c r="B88" s="9">
        <v>28.4</v>
      </c>
      <c r="C88" s="9">
        <v>11.7</v>
      </c>
      <c r="D88" s="9">
        <v>2.6</v>
      </c>
      <c r="E88" s="9">
        <v>-12.3</v>
      </c>
      <c r="F88" s="9">
        <v>-7.5</v>
      </c>
    </row>
    <row r="89" spans="1:6">
      <c r="A89" s="5"/>
      <c r="B89" s="5"/>
      <c r="C89" s="5"/>
      <c r="D89" s="5"/>
      <c r="E89" s="5"/>
      <c r="F89" s="5"/>
    </row>
    <row r="90" spans="1:6">
      <c r="A90" s="5" t="s">
        <v>193</v>
      </c>
      <c r="B90" s="9">
        <v>616.5625</v>
      </c>
      <c r="C90" s="9">
        <v>652.3125</v>
      </c>
      <c r="D90" s="9">
        <v>707.9375</v>
      </c>
      <c r="E90" s="9">
        <v>754.875</v>
      </c>
      <c r="F90" s="9">
        <v>900</v>
      </c>
    </row>
    <row r="91" spans="1:6">
      <c r="A91" s="5" t="s">
        <v>194</v>
      </c>
      <c r="B91" s="9">
        <v>12.6</v>
      </c>
      <c r="C91" s="9">
        <v>13.9</v>
      </c>
      <c r="D91" s="9">
        <v>9.6999999999999993</v>
      </c>
      <c r="E91" s="9">
        <v>9.6999999999999993</v>
      </c>
      <c r="F91" s="9">
        <v>14.3</v>
      </c>
    </row>
    <row r="92" spans="1:6">
      <c r="A92" s="5" t="s">
        <v>76</v>
      </c>
      <c r="B92" s="17">
        <v>44235</v>
      </c>
      <c r="C92" s="17">
        <v>44599</v>
      </c>
      <c r="D92" s="17">
        <v>44964</v>
      </c>
      <c r="E92" s="17">
        <v>44964</v>
      </c>
      <c r="F92" s="17">
        <v>44964</v>
      </c>
    </row>
    <row r="93" spans="1:6" ht="12">
      <c r="A93" s="5" t="s">
        <v>77</v>
      </c>
      <c r="B93" s="15" t="s">
        <v>78</v>
      </c>
      <c r="C93" s="15" t="s">
        <v>195</v>
      </c>
      <c r="D93" s="15" t="s">
        <v>195</v>
      </c>
      <c r="E93" s="15" t="s">
        <v>78</v>
      </c>
      <c r="F93" s="15" t="s">
        <v>79</v>
      </c>
    </row>
    <row r="94" spans="1:6" ht="12">
      <c r="A94" s="5" t="s">
        <v>80</v>
      </c>
      <c r="B94" s="15" t="s">
        <v>82</v>
      </c>
      <c r="C94" s="15" t="s">
        <v>82</v>
      </c>
      <c r="D94" s="15" t="s">
        <v>82</v>
      </c>
      <c r="E94" s="15" t="s">
        <v>82</v>
      </c>
      <c r="F94" s="15" t="s">
        <v>82</v>
      </c>
    </row>
    <row r="95" spans="1:6">
      <c r="A95" s="5"/>
      <c r="B95" s="5"/>
      <c r="C95" s="5"/>
      <c r="D95" s="5"/>
      <c r="E95" s="5"/>
      <c r="F95" s="5"/>
    </row>
    <row r="96" spans="1:6">
      <c r="A96" s="8" t="s">
        <v>196</v>
      </c>
      <c r="B96" s="5"/>
      <c r="C96" s="5"/>
      <c r="D96" s="5"/>
      <c r="E96" s="5"/>
      <c r="F96" s="5"/>
    </row>
    <row r="97" spans="1:6" ht="12">
      <c r="A97" s="5" t="s">
        <v>197</v>
      </c>
      <c r="B97" s="9" t="s">
        <v>66</v>
      </c>
      <c r="C97" s="9">
        <v>157.4</v>
      </c>
      <c r="D97" s="9">
        <v>149.9</v>
      </c>
      <c r="E97" s="9">
        <v>144.30000000000001</v>
      </c>
      <c r="F97" s="9">
        <v>149.30000000000001</v>
      </c>
    </row>
    <row r="98" spans="1:6" ht="12">
      <c r="A98" s="5" t="s">
        <v>198</v>
      </c>
      <c r="B98" s="9" t="s">
        <v>41</v>
      </c>
      <c r="C98" s="9">
        <v>32.097008000000002</v>
      </c>
      <c r="D98" s="9">
        <v>18.750691</v>
      </c>
      <c r="E98" s="9">
        <v>17.401426000000001</v>
      </c>
      <c r="F98" s="9">
        <v>23.739894</v>
      </c>
    </row>
    <row r="99" spans="1:6" ht="12">
      <c r="A99" s="5" t="s">
        <v>199</v>
      </c>
      <c r="B99" s="9" t="s">
        <v>41</v>
      </c>
      <c r="C99" s="9">
        <v>125.302992</v>
      </c>
      <c r="D99" s="9">
        <v>131.14930899999999</v>
      </c>
      <c r="E99" s="9">
        <v>126.898574</v>
      </c>
      <c r="F99" s="9">
        <v>125.560106</v>
      </c>
    </row>
    <row r="100" spans="1:6">
      <c r="A100" s="5"/>
      <c r="B100" s="5"/>
      <c r="C100" s="5"/>
      <c r="D100" s="5"/>
      <c r="E100" s="5"/>
      <c r="F100" s="5"/>
    </row>
    <row r="101" spans="1:6">
      <c r="A101" s="5" t="s">
        <v>200</v>
      </c>
      <c r="B101" s="9">
        <v>5.0999999999999996</v>
      </c>
      <c r="C101" s="9">
        <v>5.7</v>
      </c>
      <c r="D101" s="9">
        <v>5.7</v>
      </c>
      <c r="E101" s="9">
        <v>5.6</v>
      </c>
      <c r="F101" s="9">
        <v>7.2</v>
      </c>
    </row>
    <row r="102" spans="1:6">
      <c r="A102" s="8" t="s">
        <v>201</v>
      </c>
      <c r="B102" s="21">
        <v>5.0999999999999996</v>
      </c>
      <c r="C102" s="21">
        <v>5.7</v>
      </c>
      <c r="D102" s="21">
        <v>5.7</v>
      </c>
      <c r="E102" s="21">
        <v>5.6</v>
      </c>
      <c r="F102" s="21">
        <v>7.2</v>
      </c>
    </row>
    <row r="103" spans="1:6">
      <c r="A103" s="5"/>
      <c r="B103" s="5"/>
      <c r="C103" s="5"/>
      <c r="D103" s="5"/>
      <c r="E103" s="5"/>
      <c r="F103" s="5"/>
    </row>
    <row r="104" spans="1:6">
      <c r="A104" s="18"/>
      <c r="B104" s="18"/>
      <c r="C104" s="18"/>
      <c r="D104" s="18"/>
      <c r="E104" s="18"/>
      <c r="F104" s="18"/>
    </row>
    <row r="105" spans="1:6">
      <c r="A105" s="1" t="s">
        <v>202</v>
      </c>
    </row>
    <row r="106" spans="1:6">
      <c r="A106" s="20" t="s">
        <v>84</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Valuation</vt:lpstr>
      <vt:lpstr>Input</vt:lpstr>
      <vt:lpstr>Output</vt:lpstr>
      <vt:lpstr>Organized PL&amp;BS</vt:lpstr>
      <vt:lpstr>Balance Sheet</vt:lpstr>
      <vt:lpstr>Cash Flow</vt:lpstr>
      <vt:lpstr>Income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2015-06-05T18:17:20Z</dcterms:created>
  <dcterms:modified xsi:type="dcterms:W3CDTF">2023-05-05T03:36:48Z</dcterms:modified>
</cp:coreProperties>
</file>